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T30 Debt Avalanche" sheetId="2" state="visible" r:id="rId2"/>
    <sheet xmlns:r="http://schemas.openxmlformats.org/officeDocument/2006/relationships" name="T31 Refinance Analyzer" sheetId="3" state="visible" r:id="rId3"/>
    <sheet xmlns:r="http://schemas.openxmlformats.org/officeDocument/2006/relationships" name="T32 Buy vs Rent" sheetId="4" state="visible" r:id="rId4"/>
    <sheet xmlns:r="http://schemas.openxmlformats.org/officeDocument/2006/relationships" name="T33 RESP Grant" sheetId="5" state="visible" r:id="rId5"/>
    <sheet xmlns:r="http://schemas.openxmlformats.org/officeDocument/2006/relationships" name="T34 Employer Match" sheetId="6" state="visible" r:id="rId6"/>
    <sheet xmlns:r="http://schemas.openxmlformats.org/officeDocument/2006/relationships" name="T35 Side Income P&amp;L" sheetId="7" state="visible" r:id="rId7"/>
    <sheet xmlns:r="http://schemas.openxmlformats.org/officeDocument/2006/relationships" name="T36 Emergency Fund" sheetId="8" state="visible" r:id="rId8"/>
    <sheet xmlns:r="http://schemas.openxmlformats.org/officeDocument/2006/relationships" name="T37 Portfolio X-Ray" sheetId="9" state="visible" r:id="rId9"/>
    <sheet xmlns:r="http://schemas.openxmlformats.org/officeDocument/2006/relationships" name="T38 Bracket Planner" sheetId="10" state="visible" r:id="rId10"/>
    <sheet xmlns:r="http://schemas.openxmlformats.org/officeDocument/2006/relationships" name="T39 FI Date" sheetId="11" state="visible" r:id="rId11"/>
    <sheet xmlns:r="http://schemas.openxmlformats.org/officeDocument/2006/relationships" name="T40 Lifestyle Guard" sheetId="12" state="visible" r:id="rId12"/>
    <sheet xmlns:r="http://schemas.openxmlformats.org/officeDocument/2006/relationships" name="T41 Windfall Ladder" sheetId="13" state="visible" r:id="rId13"/>
    <sheet xmlns:r="http://schemas.openxmlformats.org/officeDocument/2006/relationships" name="T42 Negotiation Log" sheetId="14" state="visible" r:id="rId14"/>
    <sheet xmlns:r="http://schemas.openxmlformats.org/officeDocument/2006/relationships" name="T43 One-Page Plan" sheetId="15" state="visible" r:id="rId15"/>
    <sheet xmlns:r="http://schemas.openxmlformats.org/officeDocument/2006/relationships" name="T44 Account Closure" sheetId="16" state="visible" r:id="rId16"/>
    <sheet xmlns:r="http://schemas.openxmlformats.org/officeDocument/2006/relationships" name="T45 Tax Calendar" sheetId="17" state="visible" r:id="rId17"/>
    <sheet xmlns:r="http://schemas.openxmlformats.org/officeDocument/2006/relationships" name="ER Inputs" sheetId="18" state="visible" r:id="rId18"/>
    <sheet xmlns:r="http://schemas.openxmlformats.org/officeDocument/2006/relationships" name="ER Dashboard" sheetId="19" state="visible" r:id="rId19"/>
    <sheet xmlns:r="http://schemas.openxmlformats.org/officeDocument/2006/relationships" name="ER Debt Tracker" sheetId="20" state="visible" r:id="rId20"/>
    <sheet xmlns:r="http://schemas.openxmlformats.org/officeDocument/2006/relationships" name="ER Scenarios" sheetId="21" state="visible" r:id="rId21"/>
    <sheet xmlns:r="http://schemas.openxmlformats.org/officeDocument/2006/relationships" name="ER Log" sheetId="22" state="visible" r:id="rId22"/>
  </sheets>
  <definedNames/>
  <calcPr calcId="124519" fullCalcOnLoad="1"/>
</workbook>
</file>

<file path=xl/styles.xml><?xml version="1.0" encoding="utf-8"?>
<styleSheet xmlns="http://schemas.openxmlformats.org/spreadsheetml/2006/main">
  <numFmts count="3">
    <numFmt numFmtId="164" formatCode="&quot;$&quot;#,##0"/>
    <numFmt numFmtId="165" formatCode="0.0%"/>
    <numFmt numFmtId="166" formatCode="&quot;$&quot;#,##0.00"/>
  </numFmts>
  <fonts count="21">
    <font>
      <name val="Calibri"/>
      <family val="2"/>
      <color theme="1"/>
      <sz val="11"/>
      <scheme val="minor"/>
    </font>
    <font>
      <name val="Arial"/>
      <i val="1"/>
      <color rgb="00595959"/>
      <sz val="10"/>
    </font>
    <font>
      <name val="Arial"/>
      <b val="1"/>
      <color rgb="00FFC300"/>
      <sz val="16"/>
    </font>
    <font>
      <name val="Arial"/>
      <b val="1"/>
      <sz val="11"/>
    </font>
    <font>
      <name val="Arial"/>
      <sz val="11"/>
    </font>
    <font>
      <name val="Arial"/>
      <b val="1"/>
      <color rgb="00FFFFFF"/>
      <sz val="11"/>
    </font>
    <font>
      <name val="Arial"/>
      <b val="1"/>
      <color rgb="00B8860B"/>
      <sz val="11"/>
    </font>
    <font>
      <name val="Arial"/>
      <b val="1"/>
      <color rgb="00FF2A2A"/>
      <sz val="10"/>
    </font>
    <font>
      <name val="Arial"/>
      <b val="1"/>
      <color rgb="007A5C00"/>
      <sz val="11"/>
    </font>
    <font>
      <name val="Arial"/>
      <b val="1"/>
      <color rgb="00000000"/>
      <sz val="12"/>
    </font>
    <font>
      <name val="Arial"/>
      <b val="1"/>
      <color rgb="007A5C00"/>
      <sz val="13"/>
    </font>
    <font>
      <name val="Arial"/>
      <b val="1"/>
      <color rgb="00FFFFFF"/>
      <sz val="12"/>
    </font>
    <font>
      <name val="Arial"/>
      <b val="1"/>
      <color rgb="001B7A3D"/>
      <sz val="13"/>
    </font>
    <font>
      <name val="Arial"/>
      <b val="1"/>
      <color rgb="001B7A3D"/>
      <sz val="12"/>
    </font>
    <font>
      <name val="Arial"/>
      <b val="1"/>
      <sz val="12"/>
    </font>
    <font>
      <name val="Arial"/>
      <b val="1"/>
      <sz val="13"/>
    </font>
    <font>
      <name val="Arial"/>
      <b val="1"/>
      <color rgb="009C0006"/>
      <sz val="12"/>
    </font>
    <font>
      <name val="Arial"/>
      <b val="1"/>
      <color rgb="009C0006"/>
      <sz val="13"/>
    </font>
    <font>
      <name val="Arial"/>
      <b val="1"/>
      <sz val="14"/>
    </font>
    <font>
      <name val="Arial"/>
      <b val="1"/>
      <color rgb="007A5C00"/>
      <sz val="14"/>
    </font>
    <font>
      <name val="Arial"/>
      <i val="1"/>
      <sz val="10"/>
    </font>
  </fonts>
  <fills count="8">
    <fill>
      <patternFill/>
    </fill>
    <fill>
      <patternFill patternType="gray125"/>
    </fill>
    <fill>
      <patternFill patternType="solid"/>
    </fill>
    <fill>
      <patternFill patternType="solid">
        <fgColor rgb="00FFF2CC"/>
      </patternFill>
    </fill>
    <fill>
      <patternFill patternType="solid">
        <fgColor rgb="00333333"/>
      </patternFill>
    </fill>
    <fill>
      <patternFill patternType="solid">
        <fgColor rgb="00D9EAD3"/>
      </patternFill>
    </fill>
    <fill>
      <patternFill patternType="solid">
        <fgColor rgb="00F4CCCC"/>
      </patternFill>
    </fill>
    <fill>
      <patternFill patternType="solid">
        <fgColor rgb="00FFC300"/>
      </patternFill>
    </fill>
  </fills>
  <borders count="5">
    <border>
      <left/>
      <right/>
      <top/>
      <bottom/>
      <diagonal/>
    </border>
    <border>
      <left style="thin">
        <color rgb="00999999"/>
      </left>
      <right style="thin">
        <color rgb="00999999"/>
      </right>
      <top style="thin">
        <color rgb="00999999"/>
      </top>
      <bottom style="thin">
        <color rgb="00999999"/>
      </bottom>
    </border>
    <border>
      <left/>
      <right/>
      <top style="thin">
        <color rgb="00999999"/>
      </top>
      <bottom/>
      <diagonal/>
    </border>
    <border>
      <left/>
      <right style="thin">
        <color rgb="00999999"/>
      </right>
      <top style="thin">
        <color rgb="00999999"/>
      </top>
      <bottom/>
      <diagonal/>
    </border>
    <border>
      <left/>
      <right style="thin">
        <color rgb="00999999"/>
      </right>
      <top style="thin">
        <color rgb="00999999"/>
      </top>
      <bottom style="thin">
        <color rgb="00999999"/>
      </bottom>
      <diagonal/>
    </border>
  </borders>
  <cellStyleXfs count="1">
    <xf numFmtId="0" fontId="0" fillId="0" borderId="0"/>
  </cellStyleXfs>
  <cellXfs count="60">
    <xf numFmtId="0" fontId="0" fillId="0" borderId="0" pivotButton="0" quotePrefix="0" xfId="0"/>
    <xf numFmtId="0" fontId="1" fillId="0" borderId="0" applyAlignment="1" pivotButton="0" quotePrefix="0" xfId="0">
      <alignment vertical="center" wrapText="1"/>
    </xf>
    <xf numFmtId="0" fontId="2" fillId="0" borderId="0" pivotButton="0" quotePrefix="0" xfId="0"/>
    <xf numFmtId="0" fontId="1" fillId="0" borderId="0" pivotButton="0" quotePrefix="0" xfId="0"/>
    <xf numFmtId="0" fontId="3" fillId="0" borderId="0" applyAlignment="1" pivotButton="0" quotePrefix="0" xfId="0">
      <alignment vertical="center" wrapText="1"/>
    </xf>
    <xf numFmtId="0" fontId="4" fillId="0" borderId="0" applyAlignment="1" pivotButton="0" quotePrefix="0" xfId="0">
      <alignment vertical="top" wrapText="1"/>
    </xf>
    <xf numFmtId="0" fontId="5" fillId="2" borderId="1" applyAlignment="1" pivotButton="0" quotePrefix="0" xfId="0">
      <alignment horizontal="center" vertical="center" wrapText="1"/>
    </xf>
    <xf numFmtId="0" fontId="6" fillId="0" borderId="1" pivotButton="0" quotePrefix="0" xfId="0"/>
    <xf numFmtId="0" fontId="4" fillId="0" borderId="1" applyAlignment="1" pivotButton="0" quotePrefix="0" xfId="0">
      <alignment vertical="center" wrapText="1"/>
    </xf>
    <xf numFmtId="0" fontId="7" fillId="0" borderId="0" applyAlignment="1" pivotButton="0" quotePrefix="0" xfId="0">
      <alignment horizontal="center" wrapText="1"/>
    </xf>
    <xf numFmtId="0" fontId="8" fillId="3" borderId="1" applyAlignment="1" pivotButton="0" quotePrefix="0" xfId="0">
      <alignment horizontal="left" vertical="center"/>
    </xf>
    <xf numFmtId="164" fontId="8" fillId="3" borderId="1" applyAlignment="1" pivotButton="0" quotePrefix="0" xfId="0">
      <alignment horizontal="center" vertical="center"/>
    </xf>
    <xf numFmtId="165" fontId="8" fillId="3" borderId="1" applyAlignment="1" pivotButton="0" quotePrefix="0" xfId="0">
      <alignment horizontal="center" vertical="center"/>
    </xf>
    <xf numFmtId="1" fontId="9" fillId="0" borderId="1" applyAlignment="1" pivotButton="0" quotePrefix="0" xfId="0">
      <alignment horizontal="center" vertical="center"/>
    </xf>
    <xf numFmtId="166" fontId="9" fillId="0" borderId="1" applyAlignment="1" pivotButton="0" quotePrefix="0" xfId="0">
      <alignment horizontal="center" vertical="center"/>
    </xf>
    <xf numFmtId="0" fontId="9" fillId="0" borderId="1" applyAlignment="1" pivotButton="0" quotePrefix="0" xfId="0">
      <alignment horizontal="center" vertical="center"/>
    </xf>
    <xf numFmtId="164" fontId="9" fillId="0" borderId="1" applyAlignment="1" pivotButton="0" quotePrefix="0" xfId="0">
      <alignment horizontal="center" vertical="center"/>
    </xf>
    <xf numFmtId="164" fontId="10" fillId="3" borderId="1" applyAlignment="1" pivotButton="0" quotePrefix="0" xfId="0">
      <alignment horizontal="center" vertical="center"/>
    </xf>
    <xf numFmtId="0" fontId="1" fillId="0" borderId="0" applyAlignment="1" pivotButton="0" quotePrefix="0" xfId="0">
      <alignment vertical="top" wrapText="1"/>
    </xf>
    <xf numFmtId="0" fontId="11" fillId="4" borderId="0" applyAlignment="1" pivotButton="0" quotePrefix="0" xfId="0">
      <alignment vertical="center"/>
    </xf>
    <xf numFmtId="164" fontId="12" fillId="5" borderId="1" applyAlignment="1" pivotButton="0" quotePrefix="0" xfId="0">
      <alignment horizontal="center" vertical="center"/>
    </xf>
    <xf numFmtId="0" fontId="12" fillId="5" borderId="1" applyAlignment="1" pivotButton="0" quotePrefix="0" xfId="0">
      <alignment horizontal="center" vertical="center"/>
    </xf>
    <xf numFmtId="10" fontId="8" fillId="3" borderId="1" applyAlignment="1" pivotButton="0" quotePrefix="0" xfId="0">
      <alignment horizontal="center" vertical="center"/>
    </xf>
    <xf numFmtId="0" fontId="8" fillId="3" borderId="1" applyAlignment="1" pivotButton="0" quotePrefix="0" xfId="0">
      <alignment horizontal="center" vertical="center"/>
    </xf>
    <xf numFmtId="10" fontId="9" fillId="0" borderId="1" applyAlignment="1" pivotButton="0" quotePrefix="0" xfId="0">
      <alignment horizontal="center" vertical="center"/>
    </xf>
    <xf numFmtId="164" fontId="9" fillId="6" borderId="1" applyAlignment="1" pivotButton="0" quotePrefix="0" xfId="0">
      <alignment horizontal="center" vertical="center"/>
    </xf>
    <xf numFmtId="166" fontId="9" fillId="5" borderId="1" applyAlignment="1" pivotButton="0" quotePrefix="0" xfId="0">
      <alignment horizontal="center" vertical="center"/>
    </xf>
    <xf numFmtId="164" fontId="13" fillId="5" borderId="1" applyAlignment="1" pivotButton="0" quotePrefix="0" xfId="0">
      <alignment horizontal="center" vertical="center"/>
    </xf>
    <xf numFmtId="0" fontId="14" fillId="0" borderId="1" applyAlignment="1" pivotButton="0" quotePrefix="0" xfId="0">
      <alignment horizontal="center" vertical="center" wrapText="1"/>
    </xf>
    <xf numFmtId="0" fontId="0" fillId="0" borderId="4" pivotButton="0" quotePrefix="0" xfId="0"/>
    <xf numFmtId="165" fontId="9" fillId="0" borderId="1" applyAlignment="1" pivotButton="0" quotePrefix="0" xfId="0">
      <alignment horizontal="center" vertical="center"/>
    </xf>
    <xf numFmtId="166" fontId="9" fillId="6" borderId="1" applyAlignment="1" pivotButton="0" quotePrefix="0" xfId="0">
      <alignment horizontal="center" vertical="center"/>
    </xf>
    <xf numFmtId="164" fontId="14" fillId="0" borderId="1" applyAlignment="1" pivotButton="0" quotePrefix="0" xfId="0">
      <alignment horizontal="center" vertical="center"/>
    </xf>
    <xf numFmtId="0" fontId="15" fillId="0" borderId="1" applyAlignment="1" pivotButton="0" quotePrefix="0" xfId="0">
      <alignment horizontal="center" vertical="center"/>
    </xf>
    <xf numFmtId="164" fontId="9" fillId="7" borderId="1" applyAlignment="1" pivotButton="0" quotePrefix="0" xfId="0">
      <alignment horizontal="center" vertical="center"/>
    </xf>
    <xf numFmtId="164" fontId="9" fillId="5" borderId="1" applyAlignment="1" pivotButton="0" quotePrefix="0" xfId="0">
      <alignment horizontal="center" vertical="center"/>
    </xf>
    <xf numFmtId="164" fontId="16" fillId="6" borderId="1" applyAlignment="1" pivotButton="0" quotePrefix="0" xfId="0">
      <alignment horizontal="center" vertical="center"/>
    </xf>
    <xf numFmtId="164" fontId="17" fillId="6" borderId="1" applyAlignment="1" pivotButton="0" quotePrefix="0" xfId="0">
      <alignment horizontal="center" vertical="center"/>
    </xf>
    <xf numFmtId="166" fontId="15" fillId="0" borderId="1" applyAlignment="1" pivotButton="0" quotePrefix="0" xfId="0">
      <alignment horizontal="center" vertical="center"/>
    </xf>
    <xf numFmtId="0" fontId="15" fillId="7" borderId="1" applyAlignment="1" pivotButton="0" quotePrefix="0" xfId="0">
      <alignment horizontal="center" vertical="center"/>
    </xf>
    <xf numFmtId="164" fontId="15" fillId="7" borderId="1" applyAlignment="1" pivotButton="0" quotePrefix="0" xfId="0">
      <alignment horizontal="center" vertical="center"/>
    </xf>
    <xf numFmtId="10" fontId="9" fillId="7" borderId="1" applyAlignment="1" pivotButton="0" quotePrefix="0" xfId="0">
      <alignment horizontal="center" vertical="center"/>
    </xf>
    <xf numFmtId="166" fontId="12" fillId="5" borderId="1" applyAlignment="1" pivotButton="0" quotePrefix="0" xfId="0">
      <alignment horizontal="center" vertical="center"/>
    </xf>
    <xf numFmtId="0" fontId="18" fillId="7" borderId="1" applyAlignment="1" pivotButton="0" quotePrefix="0" xfId="0">
      <alignment horizontal="center" vertical="center"/>
    </xf>
    <xf numFmtId="166" fontId="14" fillId="3" borderId="1" applyAlignment="1" pivotButton="0" quotePrefix="0" xfId="0">
      <alignment horizontal="center" vertical="center"/>
    </xf>
    <xf numFmtId="166" fontId="13" fillId="5" borderId="1" applyAlignment="1" pivotButton="0" quotePrefix="0" xfId="0">
      <alignment horizontal="center" vertical="center"/>
    </xf>
    <xf numFmtId="164" fontId="16" fillId="0" borderId="1" applyAlignment="1" pivotButton="0" quotePrefix="0" xfId="0">
      <alignment horizontal="center" vertical="center"/>
    </xf>
    <xf numFmtId="164" fontId="19" fillId="3" borderId="1" applyAlignment="1" pivotButton="0" quotePrefix="0" xfId="0">
      <alignment horizontal="center" vertical="center"/>
    </xf>
    <xf numFmtId="0" fontId="14" fillId="7" borderId="1" applyAlignment="1" pivotButton="0" quotePrefix="0" xfId="0">
      <alignment horizontal="center" vertical="center"/>
    </xf>
    <xf numFmtId="0" fontId="14" fillId="6" borderId="1" applyAlignment="1" pivotButton="0" quotePrefix="0" xfId="0">
      <alignment horizontal="center" vertical="center"/>
    </xf>
    <xf numFmtId="0" fontId="3" fillId="0" borderId="1" applyAlignment="1" pivotButton="0" quotePrefix="0" xfId="0">
      <alignment horizontal="center" vertical="center" wrapText="1"/>
    </xf>
    <xf numFmtId="0" fontId="20" fillId="0" borderId="0" applyAlignment="1" pivotButton="0" quotePrefix="0" xfId="0">
      <alignment vertical="top" wrapText="1"/>
    </xf>
    <xf numFmtId="166" fontId="8" fillId="3" borderId="1" applyAlignment="1" pivotButton="0" quotePrefix="0" xfId="0">
      <alignment horizontal="center" vertical="center"/>
    </xf>
    <xf numFmtId="0" fontId="8" fillId="3" borderId="1" applyAlignment="1" pivotButton="0" quotePrefix="0" xfId="0">
      <alignment horizontal="left" vertical="center" wrapText="1"/>
    </xf>
    <xf numFmtId="0" fontId="4" fillId="0" borderId="0" applyAlignment="1" pivotButton="0" quotePrefix="0" xfId="0">
      <alignment vertical="center"/>
    </xf>
    <xf numFmtId="0" fontId="4" fillId="0" borderId="0" applyAlignment="1" pivotButton="0" quotePrefix="0" xfId="0">
      <alignment vertical="center" wrapText="1"/>
    </xf>
    <xf numFmtId="0" fontId="3" fillId="0" borderId="1" applyAlignment="1" pivotButton="0" quotePrefix="0" xfId="0">
      <alignment horizontal="center" vertical="center"/>
    </xf>
    <xf numFmtId="165" fontId="18" fillId="0" borderId="1" applyAlignment="1" pivotButton="0" quotePrefix="0" xfId="0">
      <alignment horizontal="center" vertical="center"/>
    </xf>
    <xf numFmtId="164" fontId="14" fillId="6" borderId="1" applyAlignment="1" pivotButton="0" quotePrefix="0" xfId="0">
      <alignment horizontal="center" vertical="center"/>
    </xf>
    <xf numFmtId="0" fontId="8" fillId="3" borderId="1" applyAlignment="1" pivotButton="0" quotePrefix="0" xfId="0">
      <alignment horizontal="left" vertical="top" wrapText="1"/>
    </xf>
  </cellXfs>
  <cellStyles count="1">
    <cellStyle name="Normal" xfId="0" builtinId="0" hidden="0"/>
  </cellStyles>
  <dxfs count="2">
    <dxf>
      <font>
        <b val="1"/>
        <color rgb="009C0006"/>
      </font>
      <fill>
        <patternFill patternType="solid">
          <fgColor rgb="00F4CCCC"/>
        </patternFill>
      </fill>
    </dxf>
    <dxf>
      <font>
        <b val="1"/>
        <color rgb="001B7A3D"/>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6"/>
  <sheetViews>
    <sheetView workbookViewId="0">
      <pane ySplit="6" topLeftCell="A7" activePane="bottomLeft" state="frozen"/>
      <selection pane="bottomLeft" activeCell="A1" sqref="A1"/>
    </sheetView>
  </sheetViews>
  <sheetFormatPr baseColWidth="8" defaultRowHeight="15"/>
  <cols>
    <col width="30" customWidth="1" min="1" max="1"/>
    <col width="62" customWidth="1" min="2" max="2"/>
  </cols>
  <sheetData>
    <row r="1" ht="30" customHeight="1">
      <c r="A1" s="1" t="inlineStr">
        <is>
          <t>Welcome. Yellow cells are YOUR inputs — overwrite the sample numbers with your own. Everything else calculates automatically. Do not type over white formula cells.</t>
        </is>
      </c>
    </row>
    <row r="3" ht="28" customHeight="1">
      <c r="A3" s="2" t="inlineStr">
        <is>
          <t>THE HIGH-LEVERAGE MONEY TEMPLATES &amp; WORKSHEETS PACK — SPREADSHEET COMPANION</t>
        </is>
      </c>
    </row>
    <row r="4">
      <c r="A4" s="3" t="inlineStr">
        <is>
          <t>Extended Edition bonus • Illustrative Canadian examples pre-loaded (e.g. $75,000 income scenarios) • All figures in CAD</t>
        </is>
      </c>
    </row>
    <row r="6">
      <c r="A6" s="4" t="inlineStr">
        <is>
          <t>HOW TO USE THIS WORKBOOK (5 minutes)</t>
        </is>
      </c>
    </row>
    <row r="7" ht="26" customHeight="1">
      <c r="A7" s="5" t="inlineStr">
        <is>
          <t>1. Start on ER Inputs — enter your take-home pay, spending, investing and current numbers once.</t>
        </is>
      </c>
    </row>
    <row r="8" ht="26" customHeight="1">
      <c r="A8" s="5" t="inlineStr">
        <is>
          <t>2. Glance at ER Dashboard — your savings rate, FI number and FI date, computed live.</t>
        </is>
      </c>
    </row>
    <row r="9" ht="26" customHeight="1">
      <c r="A9" s="5" t="inlineStr">
        <is>
          <t>3. Work the instruments (T30–T45 tabs) one at a time, as the question arises — debt, housing, RESP, taxes, FI date.</t>
        </is>
      </c>
    </row>
    <row r="10" ht="26" customHeight="1">
      <c r="A10" s="5" t="inlineStr">
        <is>
          <t>4. Yellow cells are inputs. White cells are formulas — never type numbers into a formula cell.</t>
        </is>
      </c>
    </row>
    <row r="11" ht="26" customHeight="1">
      <c r="A11" s="5" t="inlineStr">
        <is>
          <t>5. Revisit quarterly: update ER Inputs, reconcile against your real statements, re-run the FI date.</t>
        </is>
      </c>
    </row>
    <row r="13" ht="30" customHeight="1">
      <c r="A13" s="6" t="inlineStr">
        <is>
          <t>TAB</t>
        </is>
      </c>
      <c r="B13" s="6" t="inlineStr">
        <is>
          <t>WHAT IT DOES</t>
        </is>
      </c>
    </row>
    <row r="14" ht="28" customHeight="1">
      <c r="A14" s="7" t="inlineStr">
        <is>
          <t>ER Inputs</t>
        </is>
      </c>
      <c r="B14" s="8" t="inlineStr">
        <is>
          <t>The only Engine Room tab you ever edit — your core numbers live here.</t>
        </is>
      </c>
    </row>
    <row r="15" ht="28" customHeight="1">
      <c r="A15" s="7" t="inlineStr">
        <is>
          <t>ER Dashboard</t>
        </is>
      </c>
      <c r="B15" s="8" t="inlineStr">
        <is>
          <t>Savings rate, real return, FI number, FI date, 10-year projection. All formulas.</t>
        </is>
      </c>
    </row>
    <row r="16" ht="28" customHeight="1">
      <c r="A16" s="7" t="inlineStr">
        <is>
          <t>ER Debt Tracker</t>
        </is>
      </c>
      <c r="B16" s="8" t="inlineStr">
        <is>
          <t>Avalanche debt tracker — update balances monthly, watch kill dates approach.</t>
        </is>
      </c>
    </row>
    <row r="17" ht="28" customHeight="1">
      <c r="A17" s="7" t="inlineStr">
        <is>
          <t>ER Scenarios</t>
        </is>
      </c>
      <c r="B17" s="8" t="inlineStr">
        <is>
          <t>One dated scenario per big decision — your archive of thinking.</t>
        </is>
      </c>
    </row>
    <row r="18" ht="28" customHeight="1">
      <c r="A18" s="7" t="inlineStr">
        <is>
          <t>ER Log</t>
        </is>
      </c>
      <c r="B18" s="8" t="inlineStr">
        <is>
          <t>Running log of every tool you run, dated — your financial memory.</t>
        </is>
      </c>
    </row>
    <row r="19" ht="28" customHeight="1">
      <c r="A19" s="7" t="inlineStr">
        <is>
          <t>T30 Debt Avalanche</t>
        </is>
      </c>
      <c r="B19" s="8" t="inlineStr">
        <is>
          <t>Highest-rate-first payoff plan: kill order, debt-free date, interest saved vs minimums.</t>
        </is>
      </c>
    </row>
    <row r="20" ht="28" customHeight="1">
      <c r="A20" s="7" t="inlineStr">
        <is>
          <t>T31 Refinance Analyzer</t>
        </is>
      </c>
      <c r="B20" s="8" t="inlineStr">
        <is>
          <t>Break-even math on refinancing — incl. the restart-the-clock trap.</t>
        </is>
      </c>
    </row>
    <row r="21" ht="28" customHeight="1">
      <c r="A21" s="7" t="inlineStr">
        <is>
          <t>T32 Buy vs Rent</t>
        </is>
      </c>
      <c r="B21" s="8" t="inlineStr">
        <is>
          <t>Full 10-year housing model: equity built vs rent-and-invest portfolio.</t>
        </is>
      </c>
    </row>
    <row r="22" ht="28" customHeight="1">
      <c r="A22" s="7" t="inlineStr">
        <is>
          <t>T33 RESP Grant Optimizer</t>
        </is>
      </c>
      <c r="B22" s="8" t="inlineStr">
        <is>
          <t>Capture the full $7,200 CESG per child — incl. catch-up rules.</t>
        </is>
      </c>
    </row>
    <row r="23" ht="28" customHeight="1">
      <c r="A23" s="7" t="inlineStr">
        <is>
          <t>T34 Employer Match</t>
        </is>
      </c>
      <c r="B23" s="8" t="inlineStr">
        <is>
          <t>Are you leaving free match money on the table?</t>
        </is>
      </c>
    </row>
    <row r="24" ht="28" customHeight="1">
      <c r="A24" s="7" t="inlineStr">
        <is>
          <t>T35 Side Income P&amp;L</t>
        </is>
      </c>
      <c r="B24" s="8" t="inlineStr">
        <is>
          <t>True hourly rate of your side hustle, after tax and expenses.</t>
        </is>
      </c>
    </row>
    <row r="25" ht="28" customHeight="1">
      <c r="A25" s="7" t="inlineStr">
        <is>
          <t>T36 Emergency Fund</t>
        </is>
      </c>
      <c r="B25" s="8" t="inlineStr">
        <is>
          <t>Volatility-scored fund sizing — not a one-size slogan.</t>
        </is>
      </c>
    </row>
    <row r="26" ht="28" customHeight="1">
      <c r="A26" s="7" t="inlineStr">
        <is>
          <t>T37 Portfolio X-Ray</t>
        </is>
      </c>
      <c r="B26" s="8" t="inlineStr">
        <is>
          <t>Overlap and fee detector — weighted MER, duplicate holdings flagged.</t>
        </is>
      </c>
    </row>
    <row r="27" ht="28" customHeight="1">
      <c r="A27" s="7" t="inlineStr">
        <is>
          <t>T38 Tax Bracket Planner</t>
        </is>
      </c>
      <c r="B27" s="8" t="inlineStr">
        <is>
          <t>RRSP timing: contribute now, deduct when it counts.</t>
        </is>
      </c>
    </row>
    <row r="28" ht="28" customHeight="1">
      <c r="A28" s="7" t="inlineStr">
        <is>
          <t>T39 FI Date</t>
        </is>
      </c>
      <c r="B28" s="8" t="inlineStr">
        <is>
          <t>Your financial independence date — plus Coast FI and lever analysis.</t>
        </is>
      </c>
    </row>
    <row r="29" ht="28" customHeight="1">
      <c r="A29" s="7" t="inlineStr">
        <is>
          <t>T40 Lifestyle Guard</t>
        </is>
      </c>
      <c r="B29" s="8" t="inlineStr">
        <is>
          <t>The 50% rule on every raise — price lifestyle creep in dollars.</t>
        </is>
      </c>
    </row>
    <row r="30" ht="28" customHeight="1">
      <c r="A30" s="7" t="inlineStr">
        <is>
          <t>T41 Windfall Ladder</t>
        </is>
      </c>
      <c r="B30" s="8" t="inlineStr">
        <is>
          <t>Scaled allocation by windfall size — with cooling rules.</t>
        </is>
      </c>
    </row>
    <row r="31" ht="28" customHeight="1">
      <c r="A31" s="7" t="inlineStr">
        <is>
          <t>T42 Negotiation Log</t>
        </is>
      </c>
      <c r="B31" s="8" t="inlineStr">
        <is>
          <t>Bill negotiation scripts + annual savings tracker.</t>
        </is>
      </c>
    </row>
    <row r="32" ht="28" customHeight="1">
      <c r="A32" s="7" t="inlineStr">
        <is>
          <t>T43 One-Page Plan</t>
        </is>
      </c>
      <c r="B32" s="8" t="inlineStr">
        <is>
          <t>Your entire financial plan on one page — print it.</t>
        </is>
      </c>
    </row>
    <row r="33" ht="28" customHeight="1">
      <c r="A33" s="7" t="inlineStr">
        <is>
          <t>T44 Account Closure</t>
        </is>
      </c>
      <c r="B33" s="8" t="inlineStr">
        <is>
          <t>Safe checklist for killing dead accounts + fees saved.</t>
        </is>
      </c>
    </row>
    <row r="34" ht="28" customHeight="1">
      <c r="A34" s="7" t="inlineStr">
        <is>
          <t>T45 Tax Calendar</t>
        </is>
      </c>
      <c r="B34" s="8" t="inlineStr">
        <is>
          <t>Canadian tax deadlines, scheduled — check them off through the year.</t>
        </is>
      </c>
    </row>
    <row r="36" ht="30" customHeight="1">
      <c r="A36" s="9" t="inlineStr">
        <is>
          <t>Educational content only — not financial advice. Always do your own due diligence.</t>
        </is>
      </c>
    </row>
  </sheetData>
  <mergeCells count="9">
    <mergeCell ref="A4:B4"/>
    <mergeCell ref="A7:B7"/>
    <mergeCell ref="A11:B11"/>
    <mergeCell ref="A10:B10"/>
    <mergeCell ref="A36:B36"/>
    <mergeCell ref="A1:B1"/>
    <mergeCell ref="A9:B9"/>
    <mergeCell ref="A8:B8"/>
    <mergeCell ref="A3:B3"/>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K18"/>
  <sheetViews>
    <sheetView workbookViewId="0">
      <pane ySplit="2" topLeftCell="A3" activePane="bottomLeft" state="frozen"/>
      <selection pane="bottomLeft" activeCell="A1" sqref="A1"/>
    </sheetView>
  </sheetViews>
  <sheetFormatPr baseColWidth="8" defaultRowHeight="15"/>
  <cols>
    <col width="22" customWidth="1" min="1" max="1"/>
    <col width="14" customWidth="1" min="2" max="2"/>
    <col width="10" customWidth="1" min="3" max="3"/>
    <col width="12" customWidth="1" min="4" max="4"/>
    <col width="12" customWidth="1" min="5" max="5"/>
    <col width="15" customWidth="1" min="6" max="6"/>
    <col width="12" customWidth="1" min="7" max="7"/>
    <col width="14" customWidth="1" min="8" max="8"/>
    <col width="2" customWidth="1" min="9" max="9"/>
    <col width="13" customWidth="1" min="10" max="10"/>
    <col width="14" customWidth="1" min="11" max="11"/>
  </cols>
  <sheetData>
    <row r="1" ht="30" customHeight="1">
      <c r="A1" s="1" t="inlineStr">
        <is>
          <t>List every debt below (yellow cells). Set your total monthly debt budget in B8. Kill order is automatic — highest rate first. Sample: Maya's $14,000 across 3 debts.</t>
        </is>
      </c>
    </row>
    <row r="2" ht="30" customHeight="1">
      <c r="A2" s="6" t="inlineStr">
        <is>
          <t>Debt</t>
        </is>
      </c>
      <c r="B2" s="6" t="inlineStr">
        <is>
          <t>Balance</t>
        </is>
      </c>
      <c r="C2" s="6" t="inlineStr">
        <is>
          <t>Rate</t>
        </is>
      </c>
      <c r="D2" s="6" t="inlineStr">
        <is>
          <t>Minimum</t>
        </is>
      </c>
      <c r="E2" s="6" t="inlineStr">
        <is>
          <t>Kill order</t>
        </is>
      </c>
      <c r="F2" s="6" t="inlineStr">
        <is>
          <t>Avalanche pmt</t>
        </is>
      </c>
      <c r="G2" s="6" t="inlineStr">
        <is>
          <t>Months</t>
        </is>
      </c>
      <c r="H2" s="6" t="inlineStr">
        <is>
          <t>Interest</t>
        </is>
      </c>
      <c r="I2" s="6" t="inlineStr"/>
      <c r="J2" s="6" t="inlineStr">
        <is>
          <t>Min-only mo</t>
        </is>
      </c>
      <c r="K2" s="6" t="inlineStr">
        <is>
          <t>Min-only int</t>
        </is>
      </c>
    </row>
    <row r="3" ht="22" customHeight="1">
      <c r="A3" s="10" t="inlineStr">
        <is>
          <t>Credit card</t>
        </is>
      </c>
      <c r="B3" s="11" t="n">
        <v>6000</v>
      </c>
      <c r="C3" s="12" t="n">
        <v>0.21</v>
      </c>
      <c r="D3" s="11" t="n">
        <v>180</v>
      </c>
      <c r="E3" s="13">
        <f>RANK(C3,$C$3:$C$5,0)</f>
        <v/>
      </c>
      <c r="F3" s="14">
        <f>$B$8-(SUM($D$3:$D$5)-D3)</f>
        <v/>
      </c>
      <c r="G3" s="15">
        <f>IFERROR(ROUNDUP(NPER(C3/12,-F3,B3),0),"—")</f>
        <v/>
      </c>
      <c r="H3" s="16">
        <f>IFERROR(G3*F3-B3,"—")</f>
        <v/>
      </c>
      <c r="J3" s="15">
        <f>IFERROR(ROUNDUP(NPER(C3/12,-D3,B3),0),"—")</f>
        <v/>
      </c>
      <c r="K3" s="16">
        <f>IFERROR(J3*D3-B3,"—")</f>
        <v/>
      </c>
    </row>
    <row r="4" ht="22" customHeight="1">
      <c r="A4" s="10" t="inlineStr">
        <is>
          <t>Line of credit</t>
        </is>
      </c>
      <c r="B4" s="11" t="n">
        <v>5000</v>
      </c>
      <c r="C4" s="12" t="n">
        <v>0.08</v>
      </c>
      <c r="D4" s="11" t="n">
        <v>150</v>
      </c>
      <c r="E4" s="13">
        <f>RANK(C4,$C$3:$C$5,0)</f>
        <v/>
      </c>
      <c r="F4" s="14">
        <f>D4+INDEX($F$3:$F$5,MATCH(1,$E$3:$E$5,0))</f>
        <v/>
      </c>
      <c r="G4" s="15">
        <f>IFERROR(ROUNDUP(NPER(C4/12,-F4,B4),0),"—")</f>
        <v/>
      </c>
      <c r="H4" s="16">
        <f>IFERROR(G4*F4-B4,"—")</f>
        <v/>
      </c>
      <c r="J4" s="15">
        <f>IFERROR(ROUNDUP(NPER(C4/12,-D4,B4),0),"—")</f>
        <v/>
      </c>
      <c r="K4" s="16">
        <f>IFERROR(J4*D4-B4,"—")</f>
        <v/>
      </c>
    </row>
    <row r="5" ht="22" customHeight="1">
      <c r="A5" s="10" t="inlineStr">
        <is>
          <t>Student loan</t>
        </is>
      </c>
      <c r="B5" s="11" t="n">
        <v>3000</v>
      </c>
      <c r="C5" s="12" t="n">
        <v>0.05</v>
      </c>
      <c r="D5" s="11" t="n">
        <v>90</v>
      </c>
      <c r="E5" s="13">
        <f>RANK(C5,$C$3:$C$5,0)</f>
        <v/>
      </c>
      <c r="F5" s="14">
        <f>D5+INDEX($F$3:$F$5,MATCH(2,$E$3:$E$5,0))</f>
        <v/>
      </c>
      <c r="G5" s="15">
        <f>IFERROR(ROUNDUP(NPER(C5/12,-F5,B5),0),"—")</f>
        <v/>
      </c>
      <c r="H5" s="16">
        <f>IFERROR(G5*F5-B5,"—")</f>
        <v/>
      </c>
      <c r="J5" s="15">
        <f>IFERROR(ROUNDUP(NPER(C5/12,-D5,B5),0),"—")</f>
        <v/>
      </c>
      <c r="K5" s="16">
        <f>IFERROR(J5*D5-B5,"—")</f>
        <v/>
      </c>
    </row>
    <row r="8">
      <c r="A8" s="4" t="inlineStr">
        <is>
          <t>TOTAL MONTHLY DEBT BUDGET</t>
        </is>
      </c>
      <c r="B8" s="17" t="n">
        <v>800</v>
      </c>
    </row>
    <row r="9" ht="36" customHeight="1">
      <c r="A9" s="18" t="inlineStr">
        <is>
          <t>Budget = all minimums + every extra dollar. Avalanche: minimums on all, EVERYTHING extra at kill-order #1; when it dies, its full payment rolls to #2.</t>
        </is>
      </c>
    </row>
    <row r="10" ht="24" customHeight="1">
      <c r="A10" s="19" t="inlineStr">
        <is>
          <t>AVALANCHE PLAN — PROJECTED</t>
        </is>
      </c>
    </row>
    <row r="11">
      <c r="A11" s="4" t="inlineStr">
        <is>
          <t>Debt-free in (months)</t>
        </is>
      </c>
      <c r="B11" s="15">
        <f>SUM(G3:G5)</f>
        <v/>
      </c>
    </row>
    <row r="12">
      <c r="A12" s="4" t="inlineStr">
        <is>
          <t>Total interest paid</t>
        </is>
      </c>
      <c r="B12" s="16">
        <f>SUM(H3:H5)</f>
        <v/>
      </c>
    </row>
    <row r="13" ht="24" customHeight="1">
      <c r="A13" s="19" t="inlineStr">
        <is>
          <t>MINIMUMS ONLY — COMPARISON</t>
        </is>
      </c>
    </row>
    <row r="14">
      <c r="A14" s="4" t="inlineStr">
        <is>
          <t>Debt-free in (months)</t>
        </is>
      </c>
      <c r="B14" s="15">
        <f>MAX(J3:J5)</f>
        <v/>
      </c>
    </row>
    <row r="15">
      <c r="A15" s="4" t="inlineStr">
        <is>
          <t>Total interest paid</t>
        </is>
      </c>
      <c r="B15" s="16">
        <f>SUM(K3:K5)</f>
        <v/>
      </c>
    </row>
    <row r="16" ht="24" customHeight="1">
      <c r="A16" s="19" t="inlineStr">
        <is>
          <t>AVALANCHE SAVINGS</t>
        </is>
      </c>
    </row>
    <row r="17">
      <c r="A17" s="4" t="inlineStr">
        <is>
          <t>Interest saved</t>
        </is>
      </c>
      <c r="B17" s="20">
        <f>B15-B12</f>
        <v/>
      </c>
    </row>
    <row r="18">
      <c r="A18" s="4" t="inlineStr">
        <is>
          <t>Months saved</t>
        </is>
      </c>
      <c r="B18" s="21">
        <f>B14-B11</f>
        <v/>
      </c>
    </row>
  </sheetData>
  <mergeCells count="5">
    <mergeCell ref="A16:K16"/>
    <mergeCell ref="A10:K10"/>
    <mergeCell ref="A13:K13"/>
    <mergeCell ref="A1:K1"/>
    <mergeCell ref="A9:K9"/>
  </mergeCell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C23"/>
  <sheetViews>
    <sheetView workbookViewId="0">
      <pane ySplit="2" topLeftCell="A3" activePane="bottomLeft" state="frozen"/>
      <selection pane="bottomLeft" activeCell="A1" sqref="A1"/>
    </sheetView>
  </sheetViews>
  <sheetFormatPr baseColWidth="8" defaultRowHeight="15"/>
  <cols>
    <col width="30" customWidth="1" min="1" max="1"/>
    <col width="18" customWidth="1" min="2" max="2"/>
    <col width="18" customWidth="1" min="3" max="3"/>
  </cols>
  <sheetData>
    <row r="1" ht="30" customHeight="1">
      <c r="A1" s="1" t="inlineStr">
        <is>
          <t>Enter your current mortgage and the proposed deal (yellow). The sheet computes monthly savings, break-even and the hidden total-interest math. Sample: Amara, Ottawa, $340K remaining.</t>
        </is>
      </c>
    </row>
    <row r="3" ht="24" customHeight="1">
      <c r="A3" s="19" t="inlineStr">
        <is>
          <t>CURRENT MORTGAGE</t>
        </is>
      </c>
    </row>
    <row r="4">
      <c r="A4" s="4" t="inlineStr">
        <is>
          <t>Balance remaining</t>
        </is>
      </c>
      <c r="B4" s="11" t="n">
        <v>340000</v>
      </c>
    </row>
    <row r="5">
      <c r="A5" s="4" t="inlineStr">
        <is>
          <t>Current rate</t>
        </is>
      </c>
      <c r="B5" s="22" t="n">
        <v>0.059</v>
      </c>
    </row>
    <row r="6">
      <c r="A6" s="4" t="inlineStr">
        <is>
          <t>Years remaining</t>
        </is>
      </c>
      <c r="B6" s="23" t="n">
        <v>19</v>
      </c>
    </row>
    <row r="7">
      <c r="A7" s="4" t="inlineStr">
        <is>
          <t>Monthly payment</t>
        </is>
      </c>
      <c r="B7" s="14">
        <f>B4*C7/(1-(1+C7)^(-B6*12))</f>
        <v/>
      </c>
      <c r="C7" s="24">
        <f>((1+B5/2)^(1/6)-1)</f>
        <v/>
      </c>
    </row>
    <row r="9" ht="24" customHeight="1">
      <c r="A9" s="19" t="inlineStr">
        <is>
          <t>PROPOSED DEAL</t>
        </is>
      </c>
    </row>
    <row r="10">
      <c r="A10" s="4" t="inlineStr">
        <is>
          <t>New rate</t>
        </is>
      </c>
      <c r="B10" s="22" t="n">
        <v>0.045</v>
      </c>
    </row>
    <row r="11">
      <c r="A11" s="4" t="inlineStr">
        <is>
          <t>Penalty to break</t>
        </is>
      </c>
      <c r="B11" s="11" t="n">
        <v>3900</v>
      </c>
    </row>
    <row r="12">
      <c r="A12" s="4" t="inlineStr">
        <is>
          <t>Legal / appraisal / fees</t>
        </is>
      </c>
      <c r="B12" s="11" t="n">
        <v>1000</v>
      </c>
    </row>
    <row r="13">
      <c r="A13" s="4" t="inlineStr">
        <is>
          <t>TOTAL SWITCHING COST</t>
        </is>
      </c>
      <c r="B13" s="25">
        <f>B11+B12</f>
        <v/>
      </c>
    </row>
    <row r="14">
      <c r="A14" s="4" t="inlineStr">
        <is>
          <t>New payment (same remaining term!)</t>
        </is>
      </c>
      <c r="B14" s="14">
        <f>B4*C14/(1-(1+C14)^(-B6*12))</f>
        <v/>
      </c>
      <c r="C14" s="24">
        <f>((1+B10/2)^(1/6)-1)</f>
        <v/>
      </c>
    </row>
    <row r="16" ht="24" customHeight="1">
      <c r="A16" s="19" t="inlineStr">
        <is>
          <t>DECISION MATH</t>
        </is>
      </c>
    </row>
    <row r="17">
      <c r="A17" s="4" t="inlineStr">
        <is>
          <t>Monthly savings</t>
        </is>
      </c>
      <c r="B17" s="26">
        <f>B7-B14</f>
        <v/>
      </c>
    </row>
    <row r="18">
      <c r="A18" s="4" t="inlineStr">
        <is>
          <t>Break-even (months)</t>
        </is>
      </c>
      <c r="B18" s="15">
        <f>IFERROR(B13/B17,"—")</f>
        <v/>
      </c>
    </row>
    <row r="19">
      <c r="A19" s="4" t="inlineStr">
        <is>
          <t>Total interest — current (remaining term)</t>
        </is>
      </c>
      <c r="B19" s="16">
        <f>B7*B6*12-B4</f>
        <v/>
      </c>
    </row>
    <row r="20">
      <c r="A20" s="4" t="inlineStr">
        <is>
          <t>Total interest — new (same term)</t>
        </is>
      </c>
      <c r="B20" s="16">
        <f>B14*B6*12-B4</f>
        <v/>
      </c>
    </row>
    <row r="21">
      <c r="A21" s="4" t="inlineStr">
        <is>
          <t>Interest saved AFTER switching costs</t>
        </is>
      </c>
      <c r="B21" s="27">
        <f>(B19-B20)-B13</f>
        <v/>
      </c>
    </row>
    <row r="22" ht="30" customHeight="1">
      <c r="A22" s="4" t="inlineStr">
        <is>
          <t>VERDICT</t>
        </is>
      </c>
      <c r="B22" s="28">
        <f>IF(AND(B17&gt;0,B18&lt;B6*12),"REFINANCE — you clear break-even","WAIT / STAY — break-even beyond your horizon")</f>
        <v/>
      </c>
      <c r="C22" s="29" t="n"/>
    </row>
    <row r="23" ht="36" customHeight="1">
      <c r="A23" s="18" t="inlineStr">
        <is>
          <t>THE RESTART-THE-CLOCK TRAP: always compare on the SAME remaining term. A fresh 25-year amortization lowers the payment but can add years of interest. If the bank's quote restarts the clock, model it separately — the 'lower payment' often costs more in total.</t>
        </is>
      </c>
    </row>
  </sheetData>
  <mergeCells count="6">
    <mergeCell ref="A1:C1"/>
    <mergeCell ref="A23:C23"/>
    <mergeCell ref="A9:C9"/>
    <mergeCell ref="B22:C22"/>
    <mergeCell ref="A3:C3"/>
    <mergeCell ref="A16:C16"/>
  </mergeCells>
  <pageMargins left="0.75" right="0.75" top="1" bottom="1"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A1:C35"/>
  <sheetViews>
    <sheetView workbookViewId="0">
      <pane ySplit="2" topLeftCell="A3" activePane="bottomLeft" state="frozen"/>
      <selection pane="bottomLeft" activeCell="A1" sqref="A1"/>
    </sheetView>
  </sheetViews>
  <sheetFormatPr baseColWidth="8" defaultRowHeight="15"/>
  <cols>
    <col width="32" customWidth="1" min="1" max="1"/>
    <col width="18" customWidth="1" min="2" max="2"/>
    <col width="20" customWidth="1" min="3" max="3"/>
  </cols>
  <sheetData>
    <row r="1" ht="30" customHeight="1">
      <c r="A1" s="1" t="inlineStr">
        <is>
          <t>10-year honest housing comparison. Yellow = your numbers. The model shows which side wins AND what has to be true for it to win. Sample: Dev, Vancouver.</t>
        </is>
      </c>
    </row>
    <row r="3" ht="24" customHeight="1">
      <c r="A3" s="19" t="inlineStr">
        <is>
          <t>BUY SCENARIO</t>
        </is>
      </c>
    </row>
    <row r="4">
      <c r="A4" s="4" t="inlineStr">
        <is>
          <t>Price</t>
        </is>
      </c>
      <c r="B4" s="11" t="n">
        <v>650000</v>
      </c>
    </row>
    <row r="5">
      <c r="A5" s="4" t="inlineStr">
        <is>
          <t>Down payment</t>
        </is>
      </c>
      <c r="B5" s="11" t="n">
        <v>97500</v>
      </c>
    </row>
    <row r="6">
      <c r="A6" s="4" t="inlineStr">
        <is>
          <t>Down payment %</t>
        </is>
      </c>
      <c r="B6" s="30">
        <f>IFERROR(B5/B4,0)</f>
        <v/>
      </c>
    </row>
    <row r="7">
      <c r="A7" s="4" t="inlineStr">
        <is>
          <t>Mortgage amount</t>
        </is>
      </c>
      <c r="B7" s="16">
        <f>B4-B5</f>
        <v/>
      </c>
    </row>
    <row r="8">
      <c r="A8" s="4" t="inlineStr">
        <is>
          <t>Mortgage rate</t>
        </is>
      </c>
      <c r="B8" s="22" t="n">
        <v>0.054</v>
      </c>
    </row>
    <row r="9">
      <c r="A9" s="4" t="inlineStr">
        <is>
          <t>Amortization (years)</t>
        </is>
      </c>
      <c r="B9" s="23" t="n">
        <v>25</v>
      </c>
    </row>
    <row r="10">
      <c r="A10" s="4" t="inlineStr">
        <is>
          <t>Mortgage payment /mo</t>
        </is>
      </c>
      <c r="B10" s="14">
        <f>B7*C10/(1-(1+C10)^(-B9*12))</f>
        <v/>
      </c>
      <c r="C10" s="24">
        <f>((1+B8/2)^(1/6)-1)</f>
        <v/>
      </c>
    </row>
    <row r="11">
      <c r="A11" s="4" t="inlineStr">
        <is>
          <t>Property tax /mo</t>
        </is>
      </c>
      <c r="B11" s="11" t="n">
        <v>220</v>
      </c>
    </row>
    <row r="12">
      <c r="A12" s="4" t="inlineStr">
        <is>
          <t>Strata / condo fees /mo</t>
        </is>
      </c>
      <c r="B12" s="11" t="n">
        <v>450</v>
      </c>
    </row>
    <row r="13">
      <c r="A13" s="4" t="inlineStr">
        <is>
          <t>Insurance /mo</t>
        </is>
      </c>
      <c r="B13" s="11" t="n">
        <v>90</v>
      </c>
    </row>
    <row r="14">
      <c r="A14" s="4" t="inlineStr">
        <is>
          <t>Maintenance reserve /mo (1%/yr)</t>
        </is>
      </c>
      <c r="B14" s="14">
        <f>B4*0.01/12</f>
        <v/>
      </c>
    </row>
    <row r="15">
      <c r="A15" s="4" t="inlineStr">
        <is>
          <t>TOTAL MONTHLY COST OF OWNING</t>
        </is>
      </c>
      <c r="B15" s="31">
        <f>B10+B11+B12+B13+B14</f>
        <v/>
      </c>
    </row>
    <row r="17" ht="24" customHeight="1">
      <c r="A17" s="19" t="inlineStr">
        <is>
          <t>RENT SCENARIO</t>
        </is>
      </c>
    </row>
    <row r="18">
      <c r="A18" s="4" t="inlineStr">
        <is>
          <t>Monthly rent</t>
        </is>
      </c>
      <c r="B18" s="11" t="n">
        <v>2400</v>
      </c>
    </row>
    <row r="19">
      <c r="A19" s="4" t="inlineStr">
        <is>
          <t>Renter's insurance /mo</t>
        </is>
      </c>
      <c r="B19" s="11" t="n">
        <v>30</v>
      </c>
    </row>
    <row r="20">
      <c r="A20" s="4" t="inlineStr">
        <is>
          <t>TOTAL MONTHLY COST OF RENTING</t>
        </is>
      </c>
      <c r="B20" s="26">
        <f>B18+B19</f>
        <v/>
      </c>
    </row>
    <row r="22" ht="24" customHeight="1">
      <c r="A22" s="19" t="inlineStr">
        <is>
          <t>10-YEAR HONEST COMPARISON</t>
        </is>
      </c>
    </row>
    <row r="23">
      <c r="A23" s="4" t="inlineStr">
        <is>
          <t>Monthly difference (own − rent)</t>
        </is>
      </c>
      <c r="B23" s="14">
        <f>B15-B20</f>
        <v/>
      </c>
    </row>
    <row r="24">
      <c r="A24" s="4" t="inlineStr">
        <is>
          <t>Assumed appreciation /yr</t>
        </is>
      </c>
      <c r="B24" s="12" t="n">
        <v>0.03</v>
      </c>
    </row>
    <row r="25">
      <c r="A25" s="4" t="inlineStr">
        <is>
          <t>Invest return /yr (if renting)</t>
        </is>
      </c>
      <c r="B25" s="12" t="n">
        <v>0.07000000000000001</v>
      </c>
    </row>
    <row r="26">
      <c r="A26" s="4" t="inlineStr">
        <is>
          <t>Home value in 10 years</t>
        </is>
      </c>
      <c r="B26" s="16">
        <f>B4*(1+B24)^10</f>
        <v/>
      </c>
    </row>
    <row r="27">
      <c r="A27" s="4" t="inlineStr">
        <is>
          <t>Mortgage balance after 10 yrs</t>
        </is>
      </c>
      <c r="B27" s="16">
        <f>B10*(1-(1+C10)^-(B9*12-120))/C10</f>
        <v/>
      </c>
    </row>
    <row r="28">
      <c r="A28" s="4" t="inlineStr">
        <is>
          <t>Principal paid in 10 years</t>
        </is>
      </c>
      <c r="B28" s="16">
        <f>B7-B27</f>
        <v/>
      </c>
    </row>
    <row r="29">
      <c r="A29" s="4" t="inlineStr">
        <is>
          <t>Appreciation gain</t>
        </is>
      </c>
      <c r="B29" s="16">
        <f>B26-B4</f>
        <v/>
      </c>
    </row>
    <row r="30">
      <c r="A30" s="4" t="inlineStr">
        <is>
          <t>Selling costs (~5%)</t>
        </is>
      </c>
      <c r="B30" s="16">
        <f>B26*0.05</f>
        <v/>
      </c>
    </row>
    <row r="31">
      <c r="A31" s="4" t="inlineStr">
        <is>
          <t>BUY: net equity in 10 years</t>
        </is>
      </c>
      <c r="B31" s="32">
        <f>B28+B29-B30</f>
        <v/>
      </c>
    </row>
    <row r="32">
      <c r="A32" s="4" t="inlineStr">
        <is>
          <t>RENT+INVEST: portfolio in 10 years</t>
        </is>
      </c>
      <c r="B32" s="32">
        <f>FV(B25/12,120,-B23,-B5)</f>
        <v/>
      </c>
    </row>
    <row r="33">
      <c r="A33" s="4" t="inlineStr">
        <is>
          <t>WINNER</t>
        </is>
      </c>
      <c r="B33" s="33">
        <f>IF(B31&gt;B32,"BUY","RENT + INVEST")</f>
        <v/>
      </c>
    </row>
    <row r="34">
      <c r="A34" s="4" t="inlineStr">
        <is>
          <t>Winning margin</t>
        </is>
      </c>
      <c r="B34" s="34">
        <f>ABS(B31-B32)</f>
        <v/>
      </c>
    </row>
    <row r="35" ht="36" customHeight="1">
      <c r="A35" s="18" t="inlineStr">
        <is>
          <t>READ THIS: rent+invest usually wins the MATH — but only if the monthly difference is actually invested, automated on day one. Most people spend it. If you won't invest the difference reliably, buying wins by default: the mortgage is forced savings.</t>
        </is>
      </c>
    </row>
  </sheetData>
  <mergeCells count="5">
    <mergeCell ref="A1:C1"/>
    <mergeCell ref="A22:C22"/>
    <mergeCell ref="A17:C17"/>
    <mergeCell ref="A3:C3"/>
    <mergeCell ref="A35:C35"/>
  </mergeCells>
  <pageMargins left="0.75" right="0.75" top="1" bottom="1" header="0.5" footer="0.5"/>
  <pageSetup orientation="portrait" fitToHeight="0" fitToWidth="1"/>
</worksheet>
</file>

<file path=xl/worksheets/sheet5.xml><?xml version="1.0" encoding="utf-8"?>
<worksheet xmlns="http://schemas.openxmlformats.org/spreadsheetml/2006/main">
  <sheetPr>
    <outlinePr summaryBelow="1" summaryRight="1"/>
    <pageSetUpPr fitToPage="1"/>
  </sheetPr>
  <dimension ref="A1:B18"/>
  <sheetViews>
    <sheetView workbookViewId="0">
      <pane ySplit="2" topLeftCell="A3" activePane="bottomLeft" state="frozen"/>
      <selection pane="bottomLeft" activeCell="A1" sqref="A1"/>
    </sheetView>
  </sheetViews>
  <sheetFormatPr baseColWidth="8" defaultRowHeight="15"/>
  <cols>
    <col width="34" customWidth="1" min="1" max="1"/>
    <col width="18" customWidth="1" min="2" max="2"/>
  </cols>
  <sheetData>
    <row r="1" ht="30" customHeight="1">
      <c r="A1" s="1" t="inlineStr">
        <is>
          <t>CESG = 20% instant return on the first $2,500/yr per child ($500/yr, $7,200 lifetime). Missed years can be caught up one extra year at a time. Sample: Amara's 6-year-old.</t>
        </is>
      </c>
    </row>
    <row r="3">
      <c r="A3" s="4" t="inlineStr">
        <is>
          <t>Child's age now</t>
        </is>
      </c>
      <c r="B3" s="23" t="n">
        <v>6</v>
      </c>
    </row>
    <row r="4">
      <c r="A4" s="4" t="inlineStr">
        <is>
          <t>Annual contribution planned</t>
        </is>
      </c>
      <c r="B4" s="11" t="n">
        <v>5000</v>
      </c>
    </row>
    <row r="5">
      <c r="A5" s="4" t="inlineStr">
        <is>
          <t>Grants already received (lifetime)</t>
        </is>
      </c>
      <c r="B5" s="11" t="n">
        <v>0</v>
      </c>
    </row>
    <row r="6">
      <c r="A6" s="4" t="inlineStr">
        <is>
          <t>Missed grant years</t>
        </is>
      </c>
      <c r="B6" s="23" t="n">
        <v>6</v>
      </c>
    </row>
    <row r="8" ht="24" customHeight="1">
      <c r="A8" s="19" t="inlineStr">
        <is>
          <t>GRANT MATH</t>
        </is>
      </c>
    </row>
    <row r="9">
      <c r="A9" s="4" t="inlineStr">
        <is>
          <t>Years until age 17</t>
        </is>
      </c>
      <c r="B9" s="15">
        <f>17-B3</f>
        <v/>
      </c>
    </row>
    <row r="10">
      <c r="A10" s="4" t="inlineStr">
        <is>
          <t>Lifetime grant max</t>
        </is>
      </c>
      <c r="B10" s="16" t="n">
        <v>7200</v>
      </c>
    </row>
    <row r="11">
      <c r="A11" s="4" t="inlineStr">
        <is>
          <t>Catch-up years available</t>
        </is>
      </c>
      <c r="B11" s="15">
        <f>MIN(B6,B9)</f>
        <v/>
      </c>
    </row>
    <row r="12">
      <c r="A12" s="4" t="inlineStr">
        <is>
          <t>Standard grant /yr (20% of first $2,500)</t>
        </is>
      </c>
      <c r="B12" s="16">
        <f>MIN(B4,2500)*0.2</f>
        <v/>
      </c>
    </row>
    <row r="13">
      <c r="A13" s="4" t="inlineStr">
        <is>
          <t>Catch-up grant /yr (extra $2,500 @ 20%)</t>
        </is>
      </c>
      <c r="B13" s="16">
        <f>IF(B11&gt;0,MIN(MAX(B4-2500,0),2500)*0.2,0)</f>
        <v/>
      </c>
    </row>
    <row r="14">
      <c r="A14" s="4" t="inlineStr">
        <is>
          <t>TOTAL grant /yr</t>
        </is>
      </c>
      <c r="B14" s="35">
        <f>B12+B13</f>
        <v/>
      </c>
    </row>
    <row r="15">
      <c r="A15" s="4" t="inlineStr">
        <is>
          <t>Projected lifetime grants</t>
        </is>
      </c>
      <c r="B15" s="16">
        <f>MIN(7200,B5+B14*B9)</f>
        <v/>
      </c>
    </row>
    <row r="16">
      <c r="A16" s="4" t="inlineStr">
        <is>
          <t>Grant LEFT ON THE TABLE</t>
        </is>
      </c>
      <c r="B16" s="36">
        <f>7200-B15</f>
        <v/>
      </c>
    </row>
    <row r="17" ht="30" customHeight="1">
      <c r="A17" s="4" t="inlineStr">
        <is>
          <t>VERDICT</t>
        </is>
      </c>
      <c r="B17" s="28">
        <f>IF(B16&gt;0,"RAISE the contribution — free money is waiting","FULL grant captured — well done")</f>
        <v/>
      </c>
    </row>
    <row r="18" ht="36" customHeight="1">
      <c r="A18" s="18" t="inlineStr">
        <is>
          <t>Rules baked in: max $5,000/yr of grant-eligible contributions (excess gets no grant — put it in your TFSA); no grants after the calendar year the child turns 17; family plans can share the $7,200 pool across siblings.</t>
        </is>
      </c>
    </row>
  </sheetData>
  <mergeCells count="3">
    <mergeCell ref="A18:B18"/>
    <mergeCell ref="A8:B8"/>
    <mergeCell ref="A1:B1"/>
  </mergeCells>
  <pageMargins left="0.75" right="0.75" top="1" bottom="1" header="0.5" footer="0.5"/>
  <pageSetup orientation="portrait" fitToHeight="0" fitToWidth="1"/>
</worksheet>
</file>

<file path=xl/worksheets/sheet6.xml><?xml version="1.0" encoding="utf-8"?>
<worksheet xmlns="http://schemas.openxmlformats.org/spreadsheetml/2006/main">
  <sheetPr>
    <outlinePr summaryBelow="1" summaryRight="1"/>
    <pageSetUpPr fitToPage="1"/>
  </sheetPr>
  <dimension ref="A1:B14"/>
  <sheetViews>
    <sheetView workbookViewId="0">
      <pane ySplit="2" topLeftCell="A3" activePane="bottomLeft" state="frozen"/>
      <selection pane="bottomLeft" activeCell="A1" sqref="A1"/>
    </sheetView>
  </sheetViews>
  <sheetFormatPr baseColWidth="8" defaultRowHeight="15"/>
  <cols>
    <col width="36" customWidth="1" min="1" max="1"/>
    <col width="18" customWidth="1" min="2" max="2"/>
  </cols>
  <sheetData>
    <row r="1" ht="30" customHeight="1">
      <c r="A1" s="1" t="inlineStr">
        <is>
          <t>Employer matching is a 50–100% instant return. Find your match formula in your benefits booklet and enter it below. Sample: Jordan, $85K salary.</t>
        </is>
      </c>
    </row>
    <row r="3">
      <c r="A3" s="4" t="inlineStr">
        <is>
          <t>Your salary</t>
        </is>
      </c>
      <c r="B3" s="11" t="n">
        <v>85000</v>
      </c>
    </row>
    <row r="4">
      <c r="A4" s="4" t="inlineStr">
        <is>
          <t>Match rate (e.g. 50%)</t>
        </is>
      </c>
      <c r="B4" s="12" t="n">
        <v>0.5</v>
      </c>
    </row>
    <row r="5">
      <c r="A5" s="4" t="inlineStr">
        <is>
          <t>Match cap (% of salary, e.g. 6%)</t>
        </is>
      </c>
      <c r="B5" s="12" t="n">
        <v>0.06</v>
      </c>
    </row>
    <row r="6">
      <c r="A6" s="4" t="inlineStr">
        <is>
          <t>YOUR contribution %</t>
        </is>
      </c>
      <c r="B6" s="12" t="n">
        <v>0.04</v>
      </c>
    </row>
    <row r="8" ht="24" customHeight="1">
      <c r="A8" s="19" t="inlineStr">
        <is>
          <t>FREE MONEY AUDIT</t>
        </is>
      </c>
    </row>
    <row r="9">
      <c r="A9" s="4" t="inlineStr">
        <is>
          <t>MAXIMUM free money /yr</t>
        </is>
      </c>
      <c r="B9" s="34">
        <f>B3*B5*B4</f>
        <v/>
      </c>
    </row>
    <row r="10">
      <c r="A10" s="4" t="inlineStr">
        <is>
          <t>Your contribution $/yr</t>
        </is>
      </c>
      <c r="B10" s="16">
        <f>B3*B6</f>
        <v/>
      </c>
    </row>
    <row r="11">
      <c r="A11" s="4" t="inlineStr">
        <is>
          <t>Match you CAPTURE /yr</t>
        </is>
      </c>
      <c r="B11" s="16">
        <f>MIN(B10,B3*B5)*B4</f>
        <v/>
      </c>
    </row>
    <row r="12">
      <c r="A12" s="4" t="inlineStr">
        <is>
          <t>LEFT ON THE TABLE /yr</t>
        </is>
      </c>
      <c r="B12" s="37">
        <f>B9-B11</f>
        <v/>
      </c>
    </row>
    <row r="13" ht="34" customHeight="1">
      <c r="A13" s="4" t="inlineStr">
        <is>
          <t>VERDICT</t>
        </is>
      </c>
      <c r="B13" s="28">
        <f>IF(B12&gt;0,"BUMP your contribution to "&amp;TEXT(B5,"0%")&amp;" — no investment beats this","FULL match captured")</f>
        <v/>
      </c>
    </row>
    <row r="14" ht="36" customHeight="1">
      <c r="A14" s="18" t="inlineStr">
        <is>
          <t>Traps: vesting cliffs (leave early = lose it), high-MER funds inside the plan (the match still dwarfs the fee — take it). Capture the match BEFORE running your funding order.</t>
        </is>
      </c>
    </row>
  </sheetData>
  <mergeCells count="3">
    <mergeCell ref="A8:B8"/>
    <mergeCell ref="A14:B14"/>
    <mergeCell ref="A1:B1"/>
  </mergeCells>
  <pageMargins left="0.75" right="0.75" top="1" bottom="1" header="0.5" footer="0.5"/>
  <pageSetup orientation="portrait" fitToHeight="0" fitToWidth="1"/>
</worksheet>
</file>

<file path=xl/worksheets/sheet7.xml><?xml version="1.0" encoding="utf-8"?>
<worksheet xmlns="http://schemas.openxmlformats.org/spreadsheetml/2006/main">
  <sheetPr>
    <outlinePr summaryBelow="1" summaryRight="1"/>
    <pageSetUpPr fitToPage="1"/>
  </sheetPr>
  <dimension ref="A1:B19"/>
  <sheetViews>
    <sheetView workbookViewId="0">
      <pane ySplit="2" topLeftCell="A3" activePane="bottomLeft" state="frozen"/>
      <selection pane="bottomLeft" activeCell="A1" sqref="A1"/>
    </sheetView>
  </sheetViews>
  <sheetFormatPr baseColWidth="8" defaultRowHeight="15"/>
  <cols>
    <col width="36" customWidth="1" min="1" max="1"/>
    <col width="18" customWidth="1" min="2" max="2"/>
  </cols>
  <sheetData>
    <row r="1" ht="30" customHeight="1">
      <c r="A1" s="1" t="inlineStr">
        <is>
          <t>Side income is only real after tax, expenses and your hours. Enter one month. Sample: Priya, freelance design, 8 hrs/week.</t>
        </is>
      </c>
    </row>
    <row r="3">
      <c r="A3" s="4" t="inlineStr">
        <is>
          <t>Venture</t>
        </is>
      </c>
      <c r="B3" s="10" t="inlineStr">
        <is>
          <t>Freelance design</t>
        </is>
      </c>
    </row>
    <row r="4">
      <c r="A4" s="4" t="inlineStr">
        <is>
          <t>GROSS REVENUE (month)</t>
        </is>
      </c>
      <c r="B4" s="11" t="n">
        <v>1920</v>
      </c>
    </row>
    <row r="6" ht="24" customHeight="1">
      <c r="A6" s="19" t="inlineStr">
        <is>
          <t>EXPENSES</t>
        </is>
      </c>
    </row>
    <row r="7">
      <c r="A7" s="4" t="inlineStr">
        <is>
          <t>Direct costs (materials, fees, platform cuts)</t>
        </is>
      </c>
      <c r="B7" s="11" t="n">
        <v>120</v>
      </c>
    </row>
    <row r="8">
      <c r="A8" s="4" t="inlineStr">
        <is>
          <t>Home office / mileage (CRA rates)</t>
        </is>
      </c>
      <c r="B8" s="11" t="n">
        <v>0</v>
      </c>
    </row>
    <row r="9">
      <c r="A9" s="4" t="inlineStr">
        <is>
          <t>Tools / subscriptions</t>
        </is>
      </c>
      <c r="B9" s="11" t="n">
        <v>0</v>
      </c>
    </row>
    <row r="11" ht="24" customHeight="1">
      <c r="A11" s="19" t="inlineStr">
        <is>
          <t>TRUE PROFITABILITY</t>
        </is>
      </c>
    </row>
    <row r="12">
      <c r="A12" s="4" t="inlineStr">
        <is>
          <t>Pre-tax profit</t>
        </is>
      </c>
      <c r="B12" s="16">
        <f>B4-SUM(B7:B9)</f>
        <v/>
      </c>
    </row>
    <row r="13">
      <c r="A13" s="4" t="inlineStr">
        <is>
          <t>Your marginal tax rate</t>
        </is>
      </c>
      <c r="B13" s="12" t="n">
        <v>0.4</v>
      </c>
    </row>
    <row r="14">
      <c r="A14" s="4" t="inlineStr">
        <is>
          <t>Tax to set aside</t>
        </is>
      </c>
      <c r="B14" s="16">
        <f>B12*B13</f>
        <v/>
      </c>
    </row>
    <row r="15">
      <c r="A15" s="4" t="inlineStr">
        <is>
          <t>NET PROFIT</t>
        </is>
      </c>
      <c r="B15" s="35">
        <f>B12-B14</f>
        <v/>
      </c>
    </row>
    <row r="16">
      <c r="A16" s="4" t="inlineStr">
        <is>
          <t>Hours worked (month)</t>
        </is>
      </c>
      <c r="B16" s="23" t="n">
        <v>32</v>
      </c>
    </row>
    <row r="17">
      <c r="A17" s="4" t="inlineStr">
        <is>
          <t>TRUE HOURLY RATE</t>
        </is>
      </c>
      <c r="B17" s="38">
        <f>IFERROR(B15/B16,"—")</f>
        <v/>
      </c>
    </row>
    <row r="18" ht="34" customHeight="1">
      <c r="A18" s="4" t="inlineStr">
        <is>
          <t>VERDICT</t>
        </is>
      </c>
      <c r="B18" s="28">
        <f>IF(B17="—","Enter hours",IF(B17&gt;=25,"KEEP — above the $25/hr kill line","KILL — below the $25/hr line; push for a raise instead"))</f>
        <v/>
      </c>
    </row>
    <row r="19" ht="36" customHeight="1">
      <c r="A19" s="18" t="inlineStr">
        <is>
          <t>THE TAX RULE: 30–40% of every side-income dollar moves to a separate tax-savings account THE DAY it arrives. No withholding exists — the first year destroys people who spend the gross.</t>
        </is>
      </c>
    </row>
  </sheetData>
  <mergeCells count="4">
    <mergeCell ref="A11:B11"/>
    <mergeCell ref="A19:B19"/>
    <mergeCell ref="A6:B6"/>
    <mergeCell ref="A1:B1"/>
  </mergeCells>
  <pageMargins left="0.75" right="0.75" top="1" bottom="1" header="0.5" footer="0.5"/>
  <pageSetup orientation="portrait" fitToHeight="0" fitToWidth="1"/>
</worksheet>
</file>

<file path=xl/worksheets/sheet8.xml><?xml version="1.0" encoding="utf-8"?>
<worksheet xmlns="http://schemas.openxmlformats.org/spreadsheetml/2006/main">
  <sheetPr>
    <outlinePr summaryBelow="1" summaryRight="1"/>
    <pageSetUpPr fitToPage="1"/>
  </sheetPr>
  <dimension ref="A1:D23"/>
  <sheetViews>
    <sheetView workbookViewId="0">
      <pane ySplit="6" topLeftCell="A7" activePane="bottomLeft" state="frozen"/>
      <selection pane="bottomLeft" activeCell="A1" sqref="A1"/>
    </sheetView>
  </sheetViews>
  <sheetFormatPr baseColWidth="8" defaultRowHeight="15"/>
  <cols>
    <col width="40" customWidth="1" min="1" max="1"/>
    <col width="14" customWidth="1" min="2" max="2"/>
    <col width="12" customWidth="1" min="3" max="3"/>
    <col width="14" customWidth="1" min="4" max="4"/>
  </cols>
  <sheetData>
    <row r="1" ht="30" customHeight="1">
      <c r="A1" s="1" t="inlineStr">
        <is>
          <t>'3–6 months' is a slogan, not a sizing method. Enter 1/0 for each volatility factor. Sample: single renter, irregular income.</t>
        </is>
      </c>
    </row>
    <row r="3">
      <c r="A3" s="4" t="inlineStr">
        <is>
          <t>Monthly ESSENTIAL expenses</t>
        </is>
      </c>
      <c r="B3" s="11" t="n">
        <v>3200</v>
      </c>
    </row>
    <row r="5" ht="24" customHeight="1">
      <c r="A5" s="19" t="inlineStr">
        <is>
          <t>VOLATILITY SCORE — put 1 in column B if it applies</t>
        </is>
      </c>
    </row>
    <row r="6" ht="30" customHeight="1">
      <c r="A6" s="6" t="inlineStr">
        <is>
          <t>Factor</t>
        </is>
      </c>
      <c r="B6" s="6" t="inlineStr">
        <is>
          <t>Applies? (1/0)</t>
        </is>
      </c>
      <c r="C6" s="6" t="inlineStr">
        <is>
          <t>Points</t>
        </is>
      </c>
      <c r="D6" s="6" t="inlineStr">
        <is>
          <t>Your score</t>
        </is>
      </c>
    </row>
    <row r="7" ht="20" customHeight="1">
      <c r="A7" s="4" t="inlineStr">
        <is>
          <t>Single income household</t>
        </is>
      </c>
      <c r="B7" s="23" t="n">
        <v>0</v>
      </c>
      <c r="C7" s="15" t="n">
        <v>2</v>
      </c>
      <c r="D7" s="15">
        <f>B7*C7</f>
        <v/>
      </c>
    </row>
    <row r="8" ht="20" customHeight="1">
      <c r="A8" s="4" t="inlineStr">
        <is>
          <t>Self-employed / commission / irregular income</t>
        </is>
      </c>
      <c r="B8" s="23" t="n">
        <v>1</v>
      </c>
      <c r="C8" s="15" t="n">
        <v>2</v>
      </c>
      <c r="D8" s="15">
        <f>B8*C8</f>
        <v/>
      </c>
    </row>
    <row r="9" ht="20" customHeight="1">
      <c r="A9" s="4" t="inlineStr">
        <is>
          <t>Renter (can be forced to move)</t>
        </is>
      </c>
      <c r="B9" s="23" t="n">
        <v>1</v>
      </c>
      <c r="C9" s="15" t="n">
        <v>1</v>
      </c>
      <c r="D9" s="15">
        <f>B9*C9</f>
        <v/>
      </c>
    </row>
    <row r="10" ht="20" customHeight="1">
      <c r="A10" s="4" t="inlineStr">
        <is>
          <t>Old car / old home (lumpy repair risk)</t>
        </is>
      </c>
      <c r="B10" s="23" t="n">
        <v>1</v>
      </c>
      <c r="C10" s="15" t="n">
        <v>1</v>
      </c>
      <c r="D10" s="15">
        <f>B10*C10</f>
        <v/>
      </c>
    </row>
    <row r="11" ht="20" customHeight="1">
      <c r="A11" s="4" t="inlineStr">
        <is>
          <t>No disability insurance</t>
        </is>
      </c>
      <c r="B11" s="23" t="n">
        <v>1</v>
      </c>
      <c r="C11" s="15" t="n">
        <v>1</v>
      </c>
      <c r="D11" s="15">
        <f>B11*C11</f>
        <v/>
      </c>
    </row>
    <row r="12" ht="20" customHeight="1">
      <c r="A12" s="4" t="inlineStr">
        <is>
          <t>Health issues in household</t>
        </is>
      </c>
      <c r="B12" s="23" t="n">
        <v>0</v>
      </c>
      <c r="C12" s="15" t="n">
        <v>1</v>
      </c>
      <c r="D12" s="15">
        <f>B12*C12</f>
        <v/>
      </c>
    </row>
    <row r="13" ht="20" customHeight="1">
      <c r="A13" s="4" t="inlineStr">
        <is>
          <t>Dual stable incomes</t>
        </is>
      </c>
      <c r="B13" s="23" t="n">
        <v>0</v>
      </c>
      <c r="C13" s="15" t="n">
        <v>-1</v>
      </c>
      <c r="D13" s="15">
        <f>B13*C13</f>
        <v/>
      </c>
    </row>
    <row r="14" ht="20" customHeight="1">
      <c r="A14" s="4" t="inlineStr">
        <is>
          <t>Strong family safety net nearby</t>
        </is>
      </c>
      <c r="B14" s="23" t="n">
        <v>0</v>
      </c>
      <c r="C14" s="15" t="n">
        <v>-1</v>
      </c>
      <c r="D14" s="15">
        <f>B14*C14</f>
        <v/>
      </c>
    </row>
    <row r="15">
      <c r="A15" s="4" t="inlineStr">
        <is>
          <t>TOTAL VOLATILITY SCORE</t>
        </is>
      </c>
      <c r="D15" s="39">
        <f>SUM(D7:D14)</f>
        <v/>
      </c>
    </row>
    <row r="17" ht="24" customHeight="1">
      <c r="A17" s="19" t="inlineStr">
        <is>
          <t>YOUR TARGET</t>
        </is>
      </c>
    </row>
    <row r="18">
      <c r="A18" s="4" t="inlineStr">
        <is>
          <t>Target months (0–1→3 mo • 2–3→5 mo • 4+→7 mo)</t>
        </is>
      </c>
      <c r="B18" s="15">
        <f>IF(D15&lt;=1,3,IF(D15&lt;=3,5,7))</f>
        <v/>
      </c>
    </row>
    <row r="19">
      <c r="A19" s="4" t="inlineStr">
        <is>
          <t>YOUR FUND TARGET</t>
        </is>
      </c>
      <c r="B19" s="40">
        <f>B3*B18</f>
        <v/>
      </c>
    </row>
    <row r="20">
      <c r="A20" s="4" t="inlineStr">
        <is>
          <t>Current saved</t>
        </is>
      </c>
      <c r="B20" s="11" t="n">
        <v>4000</v>
      </c>
    </row>
    <row r="21">
      <c r="A21" s="4" t="inlineStr">
        <is>
          <t>GAP TO CLOSE</t>
        </is>
      </c>
      <c r="B21" s="25">
        <f>MAX(B19-B20,0)</f>
        <v/>
      </c>
    </row>
    <row r="22" ht="32" customHeight="1">
      <c r="A22" s="4" t="inlineStr">
        <is>
          <t>VERDICT</t>
        </is>
      </c>
      <c r="B22" s="28">
        <f>IF(B21&gt;0,"BUILD — automate "&amp;TEXT(B21/6,"$#,##0")&amp;"/mo for 6 months","FUNDED — protect it")</f>
        <v/>
      </c>
    </row>
    <row r="23" ht="36" customHeight="1">
      <c r="A23" s="18" t="inlineStr">
        <is>
          <t>Two-tier system: Tier 1 = 1 month in HISA (instant access). Tier 2 = the rest in a redeemable GIC ladder or second HISA — slightly better rate, psychologically harder to raid.</t>
        </is>
      </c>
    </row>
  </sheetData>
  <mergeCells count="5">
    <mergeCell ref="A1:D1"/>
    <mergeCell ref="A17:D17"/>
    <mergeCell ref="A23:D23"/>
    <mergeCell ref="A5:D5"/>
    <mergeCell ref="A3"/>
  </mergeCells>
  <pageMargins left="0.75" right="0.75" top="1" bottom="1" header="0.5" footer="0.5"/>
  <pageSetup orientation="portrait" fitToHeight="0" fitToWidth="1"/>
</worksheet>
</file>

<file path=xl/worksheets/sheet9.xml><?xml version="1.0" encoding="utf-8"?>
<worksheet xmlns="http://schemas.openxmlformats.org/spreadsheetml/2006/main">
  <sheetPr>
    <outlinePr summaryBelow="1" summaryRight="1"/>
    <pageSetUpPr fitToPage="1"/>
  </sheetPr>
  <dimension ref="A1:F12"/>
  <sheetViews>
    <sheetView workbookViewId="0">
      <pane ySplit="2" topLeftCell="A3" activePane="bottomLeft" state="frozen"/>
      <selection pane="bottomLeft" activeCell="A1" sqref="A1"/>
    </sheetView>
  </sheetViews>
  <sheetFormatPr baseColWidth="8" defaultRowHeight="15"/>
  <cols>
    <col width="24" customWidth="1" min="1" max="1"/>
    <col width="14" customWidth="1" min="2" max="2"/>
    <col width="10" customWidth="1" min="3" max="3"/>
    <col width="20" customWidth="1" min="4" max="4"/>
    <col width="20" customWidth="1" min="5" max="5"/>
    <col width="20" customWidth="1" min="6" max="6"/>
  </cols>
  <sheetData>
    <row r="1" ht="30" customHeight="1">
      <c r="A1" s="1" t="inlineStr">
        <is>
          <t>List every holding with its top 3 positions (from the fund factsheet). DUPLICATE company names across funds auto-highlight RED — that is overlap you are paying double MERs for.</t>
        </is>
      </c>
    </row>
    <row r="2" ht="30" customHeight="1">
      <c r="A2" s="6" t="inlineStr">
        <is>
          <t>Holding</t>
        </is>
      </c>
      <c r="B2" s="6" t="inlineStr">
        <is>
          <t>Value</t>
        </is>
      </c>
      <c r="C2" s="6" t="inlineStr">
        <is>
          <t>MER</t>
        </is>
      </c>
      <c r="D2" s="6" t="inlineStr">
        <is>
          <t>Top holding 1</t>
        </is>
      </c>
      <c r="E2" s="6" t="inlineStr">
        <is>
          <t>Top holding 2</t>
        </is>
      </c>
      <c r="F2" s="6" t="inlineStr">
        <is>
          <t>Top holding 3</t>
        </is>
      </c>
    </row>
    <row r="3" ht="22" customHeight="1">
      <c r="A3" s="10" t="inlineStr">
        <is>
          <t>Canadian equity ETF</t>
        </is>
      </c>
      <c r="B3" s="11" t="n">
        <v>40000</v>
      </c>
      <c r="C3" s="22" t="n">
        <v>0.0018</v>
      </c>
      <c r="D3" s="10" t="inlineStr">
        <is>
          <t>Royal Bank</t>
        </is>
      </c>
      <c r="E3" s="10" t="inlineStr">
        <is>
          <t>TD Bank</t>
        </is>
      </c>
      <c r="F3" s="10" t="inlineStr">
        <is>
          <t>Enbridge</t>
        </is>
      </c>
    </row>
    <row r="4" ht="22" customHeight="1">
      <c r="A4" s="10" t="inlineStr">
        <is>
          <t>US equity ETF</t>
        </is>
      </c>
      <c r="B4" s="11" t="n">
        <v>35000</v>
      </c>
      <c r="C4" s="22" t="n">
        <v>0.0016</v>
      </c>
      <c r="D4" s="10" t="inlineStr">
        <is>
          <t>Apple</t>
        </is>
      </c>
      <c r="E4" s="10" t="inlineStr">
        <is>
          <t>Microsoft</t>
        </is>
      </c>
      <c r="F4" s="10" t="inlineStr">
        <is>
          <t>Nvidia</t>
        </is>
      </c>
    </row>
    <row r="5" ht="22" customHeight="1">
      <c r="A5" s="10" t="inlineStr">
        <is>
          <t>Global equity ETF</t>
        </is>
      </c>
      <c r="B5" s="11" t="n">
        <v>25000</v>
      </c>
      <c r="C5" s="22" t="n">
        <v>0.0022</v>
      </c>
      <c r="D5" s="10" t="inlineStr">
        <is>
          <t>Apple</t>
        </is>
      </c>
      <c r="E5" s="10" t="inlineStr">
        <is>
          <t>Microsoft</t>
        </is>
      </c>
      <c r="F5" s="10" t="inlineStr">
        <is>
          <t>TSMC</t>
        </is>
      </c>
    </row>
    <row r="6" ht="22" customHeight="1">
      <c r="A6" s="10" t="inlineStr">
        <is>
          <t>Dividend growers ETF</t>
        </is>
      </c>
      <c r="B6" s="11" t="n">
        <v>20000</v>
      </c>
      <c r="C6" s="22" t="n">
        <v>0.0035</v>
      </c>
      <c r="D6" s="10" t="inlineStr">
        <is>
          <t>Royal Bank</t>
        </is>
      </c>
      <c r="E6" s="10" t="inlineStr">
        <is>
          <t>TD Bank</t>
        </is>
      </c>
      <c r="F6" s="10" t="inlineStr">
        <is>
          <t>Bank of Nova Scotia</t>
        </is>
      </c>
    </row>
    <row r="8" ht="24" customHeight="1">
      <c r="A8" s="19" t="inlineStr">
        <is>
          <t>FEE &amp; OVERLAP DIAGNOSIS</t>
        </is>
      </c>
    </row>
    <row r="9">
      <c r="A9" s="4" t="inlineStr">
        <is>
          <t>WEIGHTED MER</t>
        </is>
      </c>
      <c r="B9" s="41">
        <f>IFERROR(SUMPRODUCT(B3:B6,C3:C6)/SUM(B3:B6),0)</f>
        <v/>
      </c>
    </row>
    <row r="10">
      <c r="A10" s="4" t="inlineStr">
        <is>
          <t>Annual fees in dollars</t>
        </is>
      </c>
      <c r="B10" s="14">
        <f>SUMPRODUCT(B3:B6,C3:C6)</f>
        <v/>
      </c>
    </row>
    <row r="11">
      <c r="A11" s="4" t="inlineStr">
        <is>
          <t>What 0.10% costs you /yr</t>
        </is>
      </c>
      <c r="B11" s="14">
        <f>SUM(B3:B6)*0.001</f>
        <v/>
      </c>
    </row>
    <row r="12" ht="40" customHeight="1">
      <c r="A12" s="4" t="inlineStr">
        <is>
          <t>RULE</t>
        </is>
      </c>
      <c r="B12" s="4" t="inlineStr">
        <is>
          <t>Every holding must have a JOB no other holding does. No job = no holding. Overlap (red above) = paying 2+ MERs for the same exposure — consolidate.</t>
        </is>
      </c>
    </row>
  </sheetData>
  <mergeCells count="3">
    <mergeCell ref="A8:F8"/>
    <mergeCell ref="B12:F12"/>
    <mergeCell ref="A1:F1"/>
  </mergeCells>
  <conditionalFormatting sqref="D3:F6">
    <cfRule type="expression" priority="1" dxfId="0">
      <formula>COUNTIF($D$3:$F$6,D3)&gt;1</formula>
    </cfRule>
  </conditionalFormatting>
  <pageMargins left="0.75" right="0.75" top="1" bottom="1" header="0.5" footer="0.5"/>
  <pageSetup orientation="portrait" fitToHeight="0" fitToWidth="1"/>
</worksheet>
</file>

<file path=xl/worksheets/sheet10.xml><?xml version="1.0" encoding="utf-8"?>
<worksheet xmlns="http://schemas.openxmlformats.org/spreadsheetml/2006/main">
  <sheetPr>
    <outlinePr summaryBelow="1" summaryRight="1"/>
    <pageSetUpPr fitToPage="1"/>
  </sheetPr>
  <dimension ref="A1:B16"/>
  <sheetViews>
    <sheetView workbookViewId="0">
      <pane ySplit="2" topLeftCell="A3" activePane="bottomLeft" state="frozen"/>
      <selection pane="bottomLeft" activeCell="A1" sqref="A1"/>
    </sheetView>
  </sheetViews>
  <sheetFormatPr baseColWidth="8" defaultRowHeight="15"/>
  <cols>
    <col width="38" customWidth="1" min="1" max="1"/>
    <col width="18" customWidth="1" min="2" max="2"/>
  </cols>
  <sheetData>
    <row r="1" ht="30" customHeight="1">
      <c r="A1" s="1" t="inlineStr">
        <is>
          <t>RRSP timing: CONTRIBUTE when you can, DEDUCT when it counts. Enter your marginal rates (check current CRA brackets each January). Sample: Sofia, Ontario.</t>
        </is>
      </c>
    </row>
    <row r="3">
      <c r="A3" s="4" t="inlineStr">
        <is>
          <t>Province</t>
        </is>
      </c>
      <c r="B3" s="10" t="inlineStr">
        <is>
          <t>Ontario</t>
        </is>
      </c>
    </row>
    <row r="4">
      <c r="A4" s="4" t="inlineStr">
        <is>
          <t>Expected gross income this year</t>
        </is>
      </c>
      <c r="B4" s="11" t="n">
        <v>68000</v>
      </c>
    </row>
    <row r="5">
      <c r="A5" s="4" t="inlineStr">
        <is>
          <t>Marginal rate THIS year</t>
        </is>
      </c>
      <c r="B5" s="22" t="n">
        <v>0.2965</v>
      </c>
    </row>
    <row r="6">
      <c r="A6" s="4" t="inlineStr">
        <is>
          <t>Expected marginal rate NEXT year</t>
        </is>
      </c>
      <c r="B6" s="22" t="n">
        <v>0.4341</v>
      </c>
    </row>
    <row r="7">
      <c r="A7" s="4" t="inlineStr">
        <is>
          <t>RRSP room available</t>
        </is>
      </c>
      <c r="B7" s="11" t="n">
        <v>12000</v>
      </c>
    </row>
    <row r="8">
      <c r="A8" s="4" t="inlineStr">
        <is>
          <t>Amount to CONTRIBUTE now</t>
        </is>
      </c>
      <c r="B8" s="11" t="n">
        <v>12000</v>
      </c>
    </row>
    <row r="10" ht="24" customHeight="1">
      <c r="A10" s="19" t="inlineStr">
        <is>
          <t>THE DEDUCTION DECISION</t>
        </is>
      </c>
    </row>
    <row r="11">
      <c r="A11" s="4" t="inlineStr">
        <is>
          <t>Deduction value if claimed THIS year</t>
        </is>
      </c>
      <c r="B11" s="14">
        <f>B8*B5</f>
        <v/>
      </c>
    </row>
    <row r="12">
      <c r="A12" s="4" t="inlineStr">
        <is>
          <t>Deduction value if CARRIED to next year</t>
        </is>
      </c>
      <c r="B12" s="14">
        <f>B8*B6</f>
        <v/>
      </c>
    </row>
    <row r="13">
      <c r="A13" s="4" t="inlineStr">
        <is>
          <t>EXTRA tax saved by waiting</t>
        </is>
      </c>
      <c r="B13" s="42">
        <f>B12-B11</f>
        <v/>
      </c>
    </row>
    <row r="14" ht="36" customHeight="1">
      <c r="A14" s="4" t="inlineStr">
        <is>
          <t>DECISION</t>
        </is>
      </c>
      <c r="B14" s="28">
        <f>IF(B13&gt;0,"CONTRIBUTE NOW, DEDUCT LATER — carry the deduction (Schedule 7)","DEDUCT NOW — this year is your high year")</f>
        <v/>
      </c>
    </row>
    <row r="15">
      <c r="A15" s="4" t="inlineStr">
        <is>
          <t>Refund routing (T17 rule)</t>
        </is>
      </c>
      <c r="B15" s="10" t="inlineStr">
        <is>
          <t>Invest — not spent</t>
        </is>
      </c>
    </row>
    <row r="16" ht="36" customHeight="1">
      <c r="A16" s="18" t="inlineStr">
        <is>
          <t>The contribution and the deduction are TWO separate decisions. Most people fuse them and leave money on the table in every transition year: graduation, promotion, parental leave, sabbatical, retirement.</t>
        </is>
      </c>
    </row>
  </sheetData>
  <mergeCells count="3">
    <mergeCell ref="A16:B16"/>
    <mergeCell ref="A10:B10"/>
    <mergeCell ref="A1:B1"/>
  </mergeCells>
  <pageMargins left="0.75" right="0.75" top="1" bottom="1" header="0.5" footer="0.5"/>
  <pageSetup orientation="portrait" fitToHeight="0" fitToWidth="1"/>
</worksheet>
</file>

<file path=xl/worksheets/sheet11.xml><?xml version="1.0" encoding="utf-8"?>
<worksheet xmlns="http://schemas.openxmlformats.org/spreadsheetml/2006/main">
  <sheetPr>
    <outlinePr summaryBelow="1" summaryRight="1"/>
    <pageSetUpPr fitToPage="1"/>
  </sheetPr>
  <dimension ref="A1:B25"/>
  <sheetViews>
    <sheetView workbookViewId="0">
      <pane ySplit="2" topLeftCell="A3" activePane="bottomLeft" state="frozen"/>
      <selection pane="bottomLeft" activeCell="A1" sqref="A1"/>
    </sheetView>
  </sheetViews>
  <sheetFormatPr baseColWidth="8" defaultRowHeight="15"/>
  <cols>
    <col width="38" customWidth="1" min="1" max="1"/>
    <col width="18" customWidth="1" min="2" max="2"/>
  </cols>
  <sheetData>
    <row r="1" ht="30" customHeight="1">
      <c r="A1" s="1" t="inlineStr">
        <is>
          <t>'When can I be free?' — answered with your numbers. Use a REAL return (nominal minus inflation), 4–5%. Sample: Maya, 32.</t>
        </is>
      </c>
    </row>
    <row r="3">
      <c r="A3" s="4" t="inlineStr">
        <is>
          <t>Current invested assets</t>
        </is>
      </c>
      <c r="B3" s="11" t="n">
        <v>45000</v>
      </c>
    </row>
    <row r="4">
      <c r="A4" s="4" t="inlineStr">
        <is>
          <t>Monthly investment</t>
        </is>
      </c>
      <c r="B4" s="11" t="n">
        <v>1500</v>
      </c>
    </row>
    <row r="5">
      <c r="A5" s="4" t="inlineStr">
        <is>
          <t>Assumed REAL return /yr</t>
        </is>
      </c>
      <c r="B5" s="12" t="n">
        <v>0.05</v>
      </c>
    </row>
    <row r="6">
      <c r="A6" s="4" t="inlineStr">
        <is>
          <t>Annual spending (FI lifestyle)</t>
        </is>
      </c>
      <c r="B6" s="11" t="n">
        <v>48000</v>
      </c>
    </row>
    <row r="7">
      <c r="A7" s="4" t="inlineStr">
        <is>
          <t>Current age</t>
        </is>
      </c>
      <c r="B7" s="23" t="n">
        <v>32</v>
      </c>
    </row>
    <row r="9" ht="24" customHeight="1">
      <c r="A9" s="19" t="inlineStr">
        <is>
          <t>YOUR FI DATE</t>
        </is>
      </c>
    </row>
    <row r="10">
      <c r="A10" s="4" t="inlineStr">
        <is>
          <t>FI NUMBER (spending × 25)</t>
        </is>
      </c>
      <c r="B10" s="40">
        <f>B6*25</f>
        <v/>
      </c>
    </row>
    <row r="11">
      <c r="A11" s="4" t="inlineStr">
        <is>
          <t>Years to FI</t>
        </is>
      </c>
      <c r="B11" s="33">
        <f>IFERROR(NPER(B5/12,-B4,-B3,B10)/12,"—")</f>
        <v/>
      </c>
    </row>
    <row r="12">
      <c r="A12" s="4" t="inlineStr">
        <is>
          <t>FI AGE</t>
        </is>
      </c>
      <c r="B12" s="43">
        <f>IFERROR(B7+B11,"—")</f>
        <v/>
      </c>
    </row>
    <row r="13">
      <c r="A13" s="4" t="inlineStr">
        <is>
          <t>FI calendar year (approx)</t>
        </is>
      </c>
      <c r="B13" s="15">
        <f>IFERROR(YEAR(TODAY())+ROUND(B11,0),"—")</f>
        <v/>
      </c>
    </row>
    <row r="15" ht="24" customHeight="1">
      <c r="A15" s="19" t="inlineStr">
        <is>
          <t>SENSITIVITY — every choice priced in months of freedom</t>
        </is>
      </c>
    </row>
    <row r="16">
      <c r="A16" s="4" t="inlineStr">
        <is>
          <t>+$200/mo investing → years to FI</t>
        </is>
      </c>
      <c r="B16" s="15">
        <f>IFERROR(NPER(B5/12,-(B4+200),-B3,B10)/12,"—")</f>
        <v/>
      </c>
    </row>
    <row r="17">
      <c r="A17" s="4" t="inlineStr">
        <is>
          <t>Months sooner</t>
        </is>
      </c>
      <c r="B17" s="15">
        <f>IFERROR((B11-B16)*12,"—")</f>
        <v/>
      </c>
    </row>
    <row r="18">
      <c r="A18" s="4" t="inlineStr">
        <is>
          <t>−$200/mo spending → new FI number</t>
        </is>
      </c>
      <c r="B18" s="16">
        <f>(B6-2400)*25</f>
        <v/>
      </c>
    </row>
    <row r="19">
      <c r="A19" s="4" t="inlineStr">
        <is>
          <t>→ years to FI</t>
        </is>
      </c>
      <c r="B19" s="15">
        <f>IFERROR(NPER(B5/12,-B4,-B3,B18)/12,"—")</f>
        <v/>
      </c>
    </row>
    <row r="21" ht="24" customHeight="1">
      <c r="A21" s="19" t="inlineStr">
        <is>
          <t>COAST FI — when can you STOP contributing and still hit FI by 60?</t>
        </is>
      </c>
    </row>
    <row r="22">
      <c r="A22" s="4" t="inlineStr">
        <is>
          <t>Coast number (invested needed today)</t>
        </is>
      </c>
      <c r="B22" s="16">
        <f>B10/(1+B5)^(60-B7)</f>
        <v/>
      </c>
    </row>
    <row r="23">
      <c r="A23" s="4" t="inlineStr">
        <is>
          <t>Gap to coast</t>
        </is>
      </c>
      <c r="B23" s="16">
        <f>MAX(B22-B3,0)</f>
        <v/>
      </c>
    </row>
    <row r="24" ht="32" customHeight="1">
      <c r="A24" s="4" t="inlineStr">
        <is>
          <t>VERDICT</t>
        </is>
      </c>
      <c r="B24" s="28">
        <f>IF(B23&lt;=0,"COASTABLE — contributions optional","Not coastable yet — gap "&amp;TEXT(B23,"$#,##0"))</f>
        <v/>
      </c>
    </row>
    <row r="25" ht="36" customHeight="1">
      <c r="A25" s="18" t="inlineStr">
        <is>
          <t>The 4% rule is a PLANNING tool, not a guarantee — based on historical data and specific assumptions. Use 3.5% if you want conservatism, and re-run this yearly: the date moves as life does.</t>
        </is>
      </c>
    </row>
  </sheetData>
  <mergeCells count="5">
    <mergeCell ref="A21:B21"/>
    <mergeCell ref="A15:B15"/>
    <mergeCell ref="A25:B25"/>
    <mergeCell ref="A1:B1"/>
    <mergeCell ref="A9:B9"/>
  </mergeCells>
  <pageMargins left="0.75" right="0.75" top="1" bottom="1" header="0.5" footer="0.5"/>
  <pageSetup orientation="portrait" fitToHeight="0" fitToWidth="1"/>
</worksheet>
</file>

<file path=xl/worksheets/sheet12.xml><?xml version="1.0" encoding="utf-8"?>
<worksheet xmlns="http://schemas.openxmlformats.org/spreadsheetml/2006/main">
  <sheetPr>
    <outlinePr summaryBelow="1" summaryRight="1"/>
    <pageSetUpPr fitToPage="1"/>
  </sheetPr>
  <dimension ref="A1:B16"/>
  <sheetViews>
    <sheetView workbookViewId="0">
      <pane ySplit="2" topLeftCell="A3" activePane="bottomLeft" state="frozen"/>
      <selection pane="bottomLeft" activeCell="A1" sqref="A1"/>
    </sheetView>
  </sheetViews>
  <sheetFormatPr baseColWidth="8" defaultRowHeight="15"/>
  <cols>
    <col width="38" customWidth="1" min="1" max="1"/>
    <col width="20" customWidth="1" min="2" max="2"/>
  </cols>
  <sheetData>
    <row r="1" ht="30" customHeight="1">
      <c r="A1" s="1" t="inlineStr">
        <is>
          <t>Every raise is a fork in the road. Decide the split BEFORE the money arrives — the 50% rule, pre-committed. Sample: Jordan's $12,000 raise.</t>
        </is>
      </c>
    </row>
    <row r="3">
      <c r="A3" s="4" t="inlineStr">
        <is>
          <t>Gross raise / bonus ($/yr)</t>
        </is>
      </c>
      <c r="B3" s="11" t="n">
        <v>12000</v>
      </c>
    </row>
    <row r="4">
      <c r="A4" s="4" t="inlineStr">
        <is>
          <t>Your marginal tax rate</t>
        </is>
      </c>
      <c r="B4" s="12" t="n">
        <v>0.35</v>
      </c>
    </row>
    <row r="6" ht="24" customHeight="1">
      <c r="A6" s="19" t="inlineStr">
        <is>
          <t>THE 50% RULE — PRE-COMMITTED SPLIT</t>
        </is>
      </c>
    </row>
    <row r="7">
      <c r="A7" s="4" t="inlineStr">
        <is>
          <t>After-tax increase /mo</t>
        </is>
      </c>
      <c r="B7" s="44">
        <f>B3*(1-B4)/12</f>
        <v/>
      </c>
    </row>
    <row r="8">
      <c r="A8" s="4" t="inlineStr">
        <is>
          <t>→ Investing transfer increase /mo (50%+)</t>
        </is>
      </c>
      <c r="B8" s="45">
        <f>B7*0.5</f>
        <v/>
      </c>
    </row>
    <row r="9">
      <c r="A9" s="4" t="inlineStr">
        <is>
          <t>→ Lifestyle increase /mo (the rest)</t>
        </is>
      </c>
      <c r="B9" s="14">
        <f>B7-B8</f>
        <v/>
      </c>
    </row>
    <row r="10">
      <c r="A10" s="4" t="inlineStr">
        <is>
          <t>Lifestyle allocation (deliberate, not accidental)</t>
        </is>
      </c>
      <c r="B10" s="10" t="inlineStr">
        <is>
          <t>Nicer apartment — chosen</t>
        </is>
      </c>
    </row>
    <row r="11">
      <c r="A11" s="4" t="inlineStr">
        <is>
          <t>Automation date (the day the raise hits)</t>
        </is>
      </c>
      <c r="B11" s="10" t="inlineStr">
        <is>
          <t>Next payday</t>
        </is>
      </c>
    </row>
    <row r="13" ht="24" customHeight="1">
      <c r="A13" s="19" t="inlineStr">
        <is>
          <t>THE PRICE OF THE FORK</t>
        </is>
      </c>
    </row>
    <row r="14">
      <c r="A14" s="4" t="inlineStr">
        <is>
          <t>10-YEAR VALUE of the invested half (7%)</t>
        </is>
      </c>
      <c r="B14" s="40">
        <f>FV(0.07/12,120,-B8)</f>
        <v/>
      </c>
    </row>
    <row r="15">
      <c r="A15" s="4" t="inlineStr">
        <is>
          <t>10-year value if you absorb it ALL into lifestyle</t>
        </is>
      </c>
      <c r="B15" s="46" t="n">
        <v>0</v>
      </c>
    </row>
    <row r="16" ht="36" customHeight="1">
      <c r="A16" s="18" t="inlineStr">
        <is>
          <t>THE QUESTION: "What would future-me pay for this lifestyle bump?" The difference between the 50% rule and full absorption, per raise, over a career: seven figures. Write the split in your IPS before the raise arrives.</t>
        </is>
      </c>
    </row>
  </sheetData>
  <mergeCells count="4">
    <mergeCell ref="A13:B13"/>
    <mergeCell ref="A16:B16"/>
    <mergeCell ref="A6:B6"/>
    <mergeCell ref="A1:B1"/>
  </mergeCells>
  <pageMargins left="0.75" right="0.75" top="1" bottom="1" header="0.5" footer="0.5"/>
  <pageSetup orientation="portrait" fitToHeight="0" fitToWidth="1"/>
</worksheet>
</file>

<file path=xl/worksheets/sheet13.xml><?xml version="1.0" encoding="utf-8"?>
<worksheet xmlns="http://schemas.openxmlformats.org/spreadsheetml/2006/main">
  <sheetPr>
    <outlinePr summaryBelow="1" summaryRight="1"/>
    <pageSetUpPr fitToPage="1"/>
  </sheetPr>
  <dimension ref="A1:B15"/>
  <sheetViews>
    <sheetView workbookViewId="0">
      <pane ySplit="2" topLeftCell="A3" activePane="bottomLeft" state="frozen"/>
      <selection pane="bottomLeft" activeCell="A1" sqref="A1"/>
    </sheetView>
  </sheetViews>
  <sheetFormatPr baseColWidth="8" defaultRowHeight="15"/>
  <cols>
    <col width="38" customWidth="1" min="1" max="1"/>
    <col width="22" customWidth="1" min="2" max="2"/>
  </cols>
  <sheetData>
    <row r="1" ht="30" customHeight="1">
      <c r="A1" s="1" t="inlineStr">
        <is>
          <t>$2,000 and $200,000 should NOT follow the same rule. Enter the windfall — the ladder picks the tier, the split and the cooling rule. Sample: $25,000 bonus.</t>
        </is>
      </c>
    </row>
    <row r="3">
      <c r="A3" s="4" t="inlineStr">
        <is>
          <t>WINDFALL AMOUNT</t>
        </is>
      </c>
      <c r="B3" s="47" t="n">
        <v>25000</v>
      </c>
    </row>
    <row r="4">
      <c r="A4" s="4" t="inlineStr">
        <is>
          <t>YOUR TIER</t>
        </is>
      </c>
      <c r="B4" s="48">
        <f>IF(B3&lt;5000,"TIER 1 — small",IF(B3&lt;=50000,"TIER 2 — medium","TIER 3 — large"))</f>
        <v/>
      </c>
    </row>
    <row r="6" ht="24" customHeight="1">
      <c r="A6" s="19" t="inlineStr">
        <is>
          <t>ALLOCATION</t>
        </is>
      </c>
    </row>
    <row r="7">
      <c r="A7" s="4" t="inlineStr">
        <is>
          <t>Investing %</t>
        </is>
      </c>
      <c r="B7" s="30">
        <f>IF(B3&lt;5000,0.5,IF(B3&lt;=50000,0.6,0.7))</f>
        <v/>
      </c>
    </row>
    <row r="8">
      <c r="A8" s="4" t="inlineStr">
        <is>
          <t>Buffer-or-debt %</t>
        </is>
      </c>
      <c r="B8" s="30">
        <f>IF(B3&lt;5000,0.3,IF(B3&lt;=50000,0.25,0.2))</f>
        <v/>
      </c>
    </row>
    <row r="9">
      <c r="A9" s="4" t="inlineStr">
        <is>
          <t>Deliberate spend %</t>
        </is>
      </c>
      <c r="B9" s="30">
        <f>IF(B3&lt;5000,0.2,IF(B3&lt;=50000,0.15,0.1))</f>
        <v/>
      </c>
    </row>
    <row r="10">
      <c r="A10" s="4" t="inlineStr">
        <is>
          <t>→ Investing $</t>
        </is>
      </c>
      <c r="B10" s="16">
        <f>B3*B7</f>
        <v/>
      </c>
    </row>
    <row r="11">
      <c r="A11" s="4" t="inlineStr">
        <is>
          <t>→ Buffer-or-debt $</t>
        </is>
      </c>
      <c r="B11" s="16">
        <f>B3*B8</f>
        <v/>
      </c>
    </row>
    <row r="12">
      <c r="A12" s="4" t="inlineStr">
        <is>
          <t>→ Deliberate spend $</t>
        </is>
      </c>
      <c r="B12" s="16">
        <f>B3*B9</f>
        <v/>
      </c>
    </row>
    <row r="13">
      <c r="A13" s="4" t="inlineStr">
        <is>
          <t>Cooling rule (days before deciding)</t>
        </is>
      </c>
      <c r="B13" s="49">
        <f>IF(B3&lt;5000,0,IF(B3&lt;=50000,30,90))</f>
        <v/>
      </c>
    </row>
    <row r="14" ht="44" customHeight="1">
      <c r="A14" s="4" t="inlineStr">
        <is>
          <t>ACTION</t>
        </is>
      </c>
      <c r="B14" s="50">
        <f>IF(B3&lt;5000,"Allocate SAME DAY — small money, fast rules",IF(B3&lt;=50000,"Park in HISA 30 days, THEN allocate. Never decide on windfall day.","STOP. 90-day cooling rule. Park in HISA, run scenarios, talk to a fee-only planner. THEN allocate."))</f>
        <v/>
      </c>
    </row>
    <row r="15" ht="36" customHeight="1">
      <c r="A15" s="18" t="inlineStr">
        <is>
          <t>Why the ladder exists: windfalls trigger the largest financial mistakes people make — the money feels 'extra' and arrives when emotions are highest. The cooling rule IS the strategy. And: never tell anyone the amount.</t>
        </is>
      </c>
    </row>
  </sheetData>
  <mergeCells count="3">
    <mergeCell ref="A6:B6"/>
    <mergeCell ref="A1:B1"/>
    <mergeCell ref="A15:B15"/>
  </mergeCells>
  <pageMargins left="0.75" right="0.75" top="1" bottom="1" header="0.5" footer="0.5"/>
  <pageSetup orientation="portrait" fitToHeight="0" fitToWidth="1"/>
</worksheet>
</file>

<file path=xl/worksheets/sheet14.xml><?xml version="1.0" encoding="utf-8"?>
<worksheet xmlns="http://schemas.openxmlformats.org/spreadsheetml/2006/main">
  <sheetPr>
    <outlinePr summaryBelow="1" summaryRight="1"/>
    <pageSetUpPr fitToPage="1"/>
  </sheetPr>
  <dimension ref="A1:F14"/>
  <sheetViews>
    <sheetView workbookViewId="0">
      <pane ySplit="8" topLeftCell="A9" activePane="bottomLeft" state="frozen"/>
      <selection pane="bottomLef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6" customWidth="1" min="6" max="6"/>
  </cols>
  <sheetData>
    <row r="1" ht="30" customHeight="1">
      <c r="A1" s="1" t="inlineStr">
        <is>
          <t>One 45-minute calling session per year typically saves $300–$800/yr. Scripts below — then log every win in the table. Silence is the negotiation: state your case, then STOP TALKING.</t>
        </is>
      </c>
    </row>
    <row r="2" ht="24" customHeight="1">
      <c r="A2" s="19" t="inlineStr">
        <is>
          <t>THE SCRIPTS (adapt the bracketed parts)</t>
        </is>
      </c>
    </row>
    <row r="3" ht="40" customHeight="1">
      <c r="A3" s="4" t="inlineStr">
        <is>
          <t>Opener (phone/internet):</t>
        </is>
      </c>
      <c r="B3" s="51" t="inlineStr">
        <is>
          <t>"Hi, I'm calling about my account. I've been a customer for [X] years, currently paying $[amount]/month for [plan]. I've been offered [competitor] at $[lower]/month. Before I switch — is there anything you can do on the price or the plan?"</t>
        </is>
      </c>
    </row>
    <row r="4" ht="40" customHeight="1">
      <c r="A4" s="4" t="inlineStr">
        <is>
          <t>If they say no:</t>
        </is>
      </c>
      <c r="B4" s="51" t="inlineStr">
        <is>
          <t>"I understand. Could you check whether there are any retention offers or loyalty discounts on my account? And if not, what's the process and cost to cancel?" (Asking about cancellation triggers the retention workflow — you're inquiring, not threatening.)</t>
        </is>
      </c>
    </row>
    <row r="5" ht="40" customHeight="1">
      <c r="A5" s="4" t="inlineStr">
        <is>
          <t>Insurance renewal:</t>
        </is>
      </c>
      <c r="B5" s="51" t="inlineStr">
        <is>
          <t>"My renewal came in at $[amount]. I've gotten two competing quotes at $[lower] and $[lower]. I'd prefer to stay — can you re-shop my policy or match?"</t>
        </is>
      </c>
    </row>
    <row r="6" ht="40" customHeight="1">
      <c r="A6" s="4" t="inlineStr">
        <is>
          <t>Bank fees:</t>
        </is>
      </c>
      <c r="B6" s="51" t="inlineStr">
        <is>
          <t>"I'm paying $[amount]/month in account fees. What are my options to reduce or eliminate them — minimum balance, different account type, or should I move my banking?"</t>
        </is>
      </c>
    </row>
    <row r="7" ht="24" customHeight="1">
      <c r="A7" s="19" t="inlineStr">
        <is>
          <t>NEGOTIATION LOG</t>
        </is>
      </c>
    </row>
    <row r="8" ht="30" customHeight="1">
      <c r="A8" s="6" t="inlineStr">
        <is>
          <t>Provider</t>
        </is>
      </c>
      <c r="B8" s="6" t="inlineStr">
        <is>
          <t>Old $/mo</t>
        </is>
      </c>
      <c r="C8" s="6" t="inlineStr">
        <is>
          <t>New $/mo</t>
        </is>
      </c>
      <c r="D8" s="6" t="inlineStr">
        <is>
          <t>Saved $/yr</t>
        </is>
      </c>
      <c r="E8" s="6" t="inlineStr">
        <is>
          <t>Date</t>
        </is>
      </c>
      <c r="F8" s="6" t="inlineStr">
        <is>
          <t>Next review</t>
        </is>
      </c>
    </row>
    <row r="9" ht="22" customHeight="1">
      <c r="A9" s="10" t="inlineStr">
        <is>
          <t>Internet</t>
        </is>
      </c>
      <c r="B9" s="52" t="n">
        <v>110</v>
      </c>
      <c r="C9" s="52" t="n">
        <v>85</v>
      </c>
      <c r="D9" s="16">
        <f>IFERROR((B9-C9)*12,0)</f>
        <v/>
      </c>
      <c r="E9" s="23" t="inlineStr">
        <is>
          <t>2026-10-01</t>
        </is>
      </c>
      <c r="F9" s="23" t="inlineStr">
        <is>
          <t>2027-10-01</t>
        </is>
      </c>
    </row>
    <row r="10" ht="22" customHeight="1">
      <c r="A10" s="10" t="inlineStr">
        <is>
          <t>Home insurance</t>
        </is>
      </c>
      <c r="B10" s="52" t="n">
        <v>190</v>
      </c>
      <c r="C10" s="52" t="n">
        <v>155</v>
      </c>
      <c r="D10" s="16">
        <f>IFERROR((B10-C10)*12,0)</f>
        <v/>
      </c>
      <c r="E10" s="23" t="inlineStr">
        <is>
          <t>2026-10-01</t>
        </is>
      </c>
      <c r="F10" s="23" t="inlineStr">
        <is>
          <t>2027-10-01</t>
        </is>
      </c>
    </row>
    <row r="11" ht="22" customHeight="1">
      <c r="A11" s="10" t="inlineStr">
        <is>
          <t>Mobile plan</t>
        </is>
      </c>
      <c r="B11" s="52" t="n">
        <v>75</v>
      </c>
      <c r="C11" s="52" t="n">
        <v>55</v>
      </c>
      <c r="D11" s="16">
        <f>IFERROR((B11-C11)*12,0)</f>
        <v/>
      </c>
      <c r="E11" s="23" t="inlineStr">
        <is>
          <t>2026-10-01</t>
        </is>
      </c>
      <c r="F11" s="23" t="inlineStr">
        <is>
          <t>2027-10-01</t>
        </is>
      </c>
    </row>
    <row r="12" ht="22" customHeight="1">
      <c r="A12" s="10" t="inlineStr">
        <is>
          <t>Bank account fees</t>
        </is>
      </c>
      <c r="B12" s="52" t="n">
        <v>16</v>
      </c>
      <c r="C12" s="52" t="n">
        <v>0</v>
      </c>
      <c r="D12" s="16">
        <f>IFERROR((B12-C12)*12,0)</f>
        <v/>
      </c>
      <c r="E12" s="23" t="inlineStr">
        <is>
          <t>2026-10-01</t>
        </is>
      </c>
      <c r="F12" s="23" t="inlineStr">
        <is>
          <t>2027-10-01</t>
        </is>
      </c>
    </row>
    <row r="13" ht="22" customHeight="1">
      <c r="A13" s="10" t="inlineStr"/>
      <c r="B13" s="52" t="n"/>
      <c r="C13" s="52" t="n"/>
      <c r="D13" s="16">
        <f>IFERROR((B13-C13)*12,0)</f>
        <v/>
      </c>
      <c r="E13" s="23" t="inlineStr"/>
      <c r="F13" s="23" t="inlineStr"/>
    </row>
    <row r="14">
      <c r="A14" s="4" t="inlineStr">
        <is>
          <t>TOTAL SAVED /yr</t>
        </is>
      </c>
      <c r="D14" s="20">
        <f>SUM(D9:D13)</f>
        <v/>
      </c>
    </row>
  </sheetData>
  <mergeCells count="7">
    <mergeCell ref="B4:F4"/>
    <mergeCell ref="A2:F2"/>
    <mergeCell ref="B6:F6"/>
    <mergeCell ref="A1:F1"/>
    <mergeCell ref="B3:F3"/>
    <mergeCell ref="B5:F5"/>
    <mergeCell ref="A7:F7"/>
  </mergeCells>
  <pageMargins left="0.75" right="0.75" top="1" bottom="1" header="0.5" footer="0.5"/>
  <pageSetup orientation="portrait" fitToHeight="0" fitToWidth="1"/>
</worksheet>
</file>

<file path=xl/worksheets/sheet15.xml><?xml version="1.0" encoding="utf-8"?>
<worksheet xmlns="http://schemas.openxmlformats.org/spreadsheetml/2006/main">
  <sheetPr>
    <outlinePr summaryBelow="1" summaryRight="1"/>
    <pageSetUpPr fitToPage="1"/>
  </sheetPr>
  <dimension ref="A1:B38"/>
  <sheetViews>
    <sheetView workbookViewId="0">
      <selection activeCell="A1" sqref="A1"/>
    </sheetView>
  </sheetViews>
  <sheetFormatPr baseColWidth="8" defaultRowHeight="15"/>
  <cols>
    <col width="34" customWidth="1" min="1" max="1"/>
    <col width="30" customWidth="1" min="2" max="2"/>
  </cols>
  <sheetData>
    <row r="1" ht="30" customHeight="1">
      <c r="A1" s="1" t="inlineStr">
        <is>
          <t>Your entire plan on ONE page — most numbers pull live from your other tabs. Fill the vision, moves and rules in yellow. PRINT this page.</t>
        </is>
      </c>
    </row>
    <row r="3">
      <c r="A3" s="2" t="inlineStr">
        <is>
          <t>MY ONE-PAGE FINANCIAL PLAN</t>
        </is>
      </c>
    </row>
    <row r="4">
      <c r="A4" s="4" t="inlineStr">
        <is>
          <t>Name</t>
        </is>
      </c>
      <c r="B4" s="23" t="inlineStr">
        <is>
          <t>Your name</t>
        </is>
      </c>
    </row>
    <row r="5">
      <c r="A5" s="4" t="inlineStr">
        <is>
          <t>Date</t>
        </is>
      </c>
      <c r="B5" s="23" t="inlineStr">
        <is>
          <t>2026-10-09</t>
        </is>
      </c>
    </row>
    <row r="6">
      <c r="A6" s="4" t="inlineStr">
        <is>
          <t>Annual review date</t>
        </is>
      </c>
      <c r="B6" s="23" t="inlineStr">
        <is>
          <t>Every January</t>
        </is>
      </c>
    </row>
    <row r="8" ht="24" customHeight="1">
      <c r="A8" s="19" t="inlineStr">
        <is>
          <t>WHERE I AM (live from your tabs)</t>
        </is>
      </c>
    </row>
    <row r="9">
      <c r="A9" s="4" t="inlineStr">
        <is>
          <t>Net worth</t>
        </is>
      </c>
      <c r="B9" s="16">
        <f>'ER Inputs'!B12</f>
        <v/>
      </c>
    </row>
    <row r="10">
      <c r="A10" s="4" t="inlineStr">
        <is>
          <t>Invested</t>
        </is>
      </c>
      <c r="B10" s="16">
        <f>'ER Inputs'!B7</f>
        <v/>
      </c>
    </row>
    <row r="11">
      <c r="A11" s="4" t="inlineStr">
        <is>
          <t>Save rate</t>
        </is>
      </c>
      <c r="B11" s="30">
        <f>'ER Dashboard'!B4</f>
        <v/>
      </c>
    </row>
    <row r="12">
      <c r="A12" s="4" t="inlineStr">
        <is>
          <t>Total debt</t>
        </is>
      </c>
      <c r="B12" s="16">
        <f>'ER Debt Tracker'!B10</f>
        <v/>
      </c>
    </row>
    <row r="14" ht="24" customHeight="1">
      <c r="A14" s="19" t="inlineStr">
        <is>
          <t>WHERE I'M GOING</t>
        </is>
      </c>
    </row>
    <row r="15" ht="30" customHeight="1">
      <c r="A15" s="4" t="inlineStr">
        <is>
          <t>5-year vision (one line)</t>
        </is>
      </c>
      <c r="B15" s="53" t="inlineStr">
        <is>
          <t>Debt-free, $150K invested, FI date under 55</t>
        </is>
      </c>
    </row>
    <row r="17" ht="24" customHeight="1">
      <c r="A17" s="19" t="inlineStr">
        <is>
          <t>THE THREE NUMBERS THAT MATTER</t>
        </is>
      </c>
    </row>
    <row r="18">
      <c r="A18" s="4" t="inlineStr">
        <is>
          <t>1. Monthly investing → accounts</t>
        </is>
      </c>
      <c r="B18" s="16">
        <f>'ER Inputs'!B6</f>
        <v/>
      </c>
    </row>
    <row r="19">
      <c r="A19" s="4" t="inlineStr">
        <is>
          <t>2. FI number → FI age</t>
        </is>
      </c>
      <c r="B19" s="16">
        <f>'T39 FI Date'!B10</f>
        <v/>
      </c>
    </row>
    <row r="20">
      <c r="A20" s="4" t="inlineStr">
        <is>
          <t>3. Emergency buffer (months)</t>
        </is>
      </c>
      <c r="B20" s="16">
        <f>'T36 Emergency Fund'!B19</f>
        <v/>
      </c>
    </row>
    <row r="22" ht="24" customHeight="1">
      <c r="A22" s="19" t="inlineStr">
        <is>
          <t>THE SYSTEM — how money moves on payday</t>
        </is>
      </c>
    </row>
    <row r="23" ht="30" customHeight="1">
      <c r="A23" s="4" t="inlineStr">
        <is>
          <t>Payday → invest → bills → buffer → spend</t>
        </is>
      </c>
      <c r="B23" s="53" t="inlineStr">
        <is>
          <t>Payday $5,200 → invest $1,300 → bills → buffer → spend rest</t>
        </is>
      </c>
    </row>
    <row r="25" ht="24" customHeight="1">
      <c r="A25" s="19" t="inlineStr">
        <is>
          <t>THE PROTECTION</t>
        </is>
      </c>
    </row>
    <row r="26" ht="28" customHeight="1">
      <c r="A26" s="4" t="inlineStr">
        <is>
          <t>Insurance</t>
        </is>
      </c>
      <c r="B26" s="53" t="inlineStr">
        <is>
          <t>Term life $500K • disability via employer</t>
        </is>
      </c>
    </row>
    <row r="27" ht="28" customHeight="1">
      <c r="A27" s="4" t="inlineStr">
        <is>
          <t>Will / beneficiaries</t>
        </is>
      </c>
      <c r="B27" s="53" t="inlineStr">
        <is>
          <t>Will: ___ • Beneficiaries reviewed: ___</t>
        </is>
      </c>
    </row>
    <row r="29" ht="24" customHeight="1">
      <c r="A29" s="19" t="inlineStr">
        <is>
          <t>THIS YEAR'S THREE MOVES</t>
        </is>
      </c>
    </row>
    <row r="30">
      <c r="A30" s="4" t="inlineStr">
        <is>
          <t>Move 1</t>
        </is>
      </c>
      <c r="B30" s="10" t="inlineStr">
        <is>
          <t>Kill the credit card (T30)</t>
        </is>
      </c>
    </row>
    <row r="31">
      <c r="A31" s="4" t="inlineStr">
        <is>
          <t>Move 2</t>
        </is>
      </c>
      <c r="B31" s="10" t="inlineStr">
        <is>
          <t>Capture full employer match (T34)</t>
        </is>
      </c>
    </row>
    <row r="32">
      <c r="A32" s="4" t="inlineStr">
        <is>
          <t>Move 3</t>
        </is>
      </c>
      <c r="B32" s="10" t="inlineStr">
        <is>
          <t>Raise investing to 25% (T40 on next raise)</t>
        </is>
      </c>
    </row>
    <row r="33" ht="24" customHeight="1">
      <c r="A33" s="19" t="inlineStr">
        <is>
          <t>MY RULES (non-negotiable)</t>
        </is>
      </c>
    </row>
    <row r="34">
      <c r="A34" s="4" t="inlineStr">
        <is>
          <t>☐ Rule 1</t>
        </is>
      </c>
      <c r="B34" s="10" t="inlineStr">
        <is>
          <t>50% of every raise to investing (T40)</t>
        </is>
      </c>
    </row>
    <row r="35">
      <c r="A35" s="4" t="inlineStr">
        <is>
          <t>☐ Rule 2</t>
        </is>
      </c>
      <c r="B35" s="10" t="inlineStr">
        <is>
          <t>Rebalance annually every January (T12)</t>
        </is>
      </c>
    </row>
    <row r="36">
      <c r="A36" s="4" t="inlineStr">
        <is>
          <t>☐ Rule 3</t>
        </is>
      </c>
      <c r="B36" s="10" t="inlineStr">
        <is>
          <t>No individual stock over 5% — index only</t>
        </is>
      </c>
    </row>
    <row r="37">
      <c r="A37" s="4" t="inlineStr">
        <is>
          <t>☐ Rule 4</t>
        </is>
      </c>
      <c r="B37" s="10" t="inlineStr">
        <is>
          <t>Pre-mortem before any $5,000+ decision</t>
        </is>
      </c>
    </row>
    <row r="38" ht="36" customHeight="1">
      <c r="A38" s="18" t="inlineStr">
        <is>
          <t>THE ANNUAL REWRITE (January, 30 min): update the numbers, confirm the three moves, re-sign. The plan changes ONCE a year, deliberately — mid-year changes are feelings wearing a plan's clothes.</t>
        </is>
      </c>
    </row>
  </sheetData>
  <mergeCells count="10">
    <mergeCell ref="A38:B38"/>
    <mergeCell ref="A29:B29"/>
    <mergeCell ref="A25:B25"/>
    <mergeCell ref="A33:B33"/>
    <mergeCell ref="A14:B14"/>
    <mergeCell ref="A1:B1"/>
    <mergeCell ref="A17:B17"/>
    <mergeCell ref="A8:B8"/>
    <mergeCell ref="A3:B3"/>
    <mergeCell ref="A22:B22"/>
  </mergeCells>
  <pageMargins left="0.75" right="0.75" top="1" bottom="1" header="0.5" footer="0.5"/>
  <pageSetup orientation="portrait" fitToHeight="0" fitToWidth="1"/>
</worksheet>
</file>

<file path=xl/worksheets/sheet16.xml><?xml version="1.0" encoding="utf-8"?>
<worksheet xmlns="http://schemas.openxmlformats.org/spreadsheetml/2006/main">
  <sheetPr>
    <outlinePr summaryBelow="1" summaryRight="1"/>
    <pageSetUpPr fitToPage="1"/>
  </sheetPr>
  <dimension ref="A1:G19"/>
  <sheetViews>
    <sheetView workbookViewId="0">
      <pane ySplit="13" topLeftCell="A14" activePane="bottomLeft" state="frozen"/>
      <selection pane="bottomLeft" activeCell="A1" sqref="A1"/>
    </sheetView>
  </sheetViews>
  <sheetFormatPr baseColWidth="8" defaultRowHeight="15"/>
  <cols>
    <col width="26" customWidth="1" min="1" max="1"/>
    <col width="20" customWidth="1" min="2" max="2"/>
    <col width="14" customWidth="1" min="3" max="3"/>
    <col width="14" customWidth="1" min="4" max="4"/>
    <col width="16" customWidth="1" min="5" max="5"/>
    <col width="14" customWidth="1" min="6" max="6"/>
    <col width="16" customWidth="1" min="7" max="7"/>
  </cols>
  <sheetData>
    <row r="1" ht="30" customHeight="1">
      <c r="A1" s="1" t="inlineStr">
        <is>
          <t>Every unnecessary account is a leak: fees, mental overhead, fraud surface. Reroute BEFORE you close — then log the kill below.</t>
        </is>
      </c>
    </row>
    <row r="2" ht="24" customHeight="1">
      <c r="A2" s="19" t="inlineStr">
        <is>
          <t>BEFORE CLOSING — the order of operations matters</t>
        </is>
      </c>
    </row>
    <row r="3" ht="20" customHeight="1">
      <c r="A3" s="54" t="inlineStr">
        <is>
          <t>☐  Balance moved to its new home</t>
        </is>
      </c>
    </row>
    <row r="4" ht="20" customHeight="1">
      <c r="A4" s="54" t="inlineStr">
        <is>
          <t>☐  No pending transactions / PADs (check 60 days of history)</t>
        </is>
      </c>
    </row>
    <row r="5" ht="20" customHeight="1">
      <c r="A5" s="54" t="inlineStr">
        <is>
          <t>☐  Auto-transfers IN rerouted • auto-payments OUT rerouted</t>
        </is>
      </c>
    </row>
    <row r="6" ht="20" customHeight="1">
      <c r="A6" s="54" t="inlineStr">
        <is>
          <t>☐  Tax slips considered (RRSP/TFSA mid-year)</t>
        </is>
      </c>
    </row>
    <row r="7" ht="20" customHeight="1">
      <c r="A7" s="54" t="inlineStr">
        <is>
          <t>☐  12 months of statements downloaded</t>
        </is>
      </c>
    </row>
    <row r="8" ht="20" customHeight="1">
      <c r="A8" s="54" t="inlineStr">
        <is>
          <t>☐  Rewards / points redeemed or transferred</t>
        </is>
      </c>
    </row>
    <row r="9" ht="20" customHeight="1">
      <c r="A9" s="54" t="inlineStr">
        <is>
          <t>☐  Written confirmation of closure received</t>
        </is>
      </c>
    </row>
    <row r="10" ht="20" customHeight="1">
      <c r="A10" s="54" t="inlineStr">
        <is>
          <t>☐  Account map (T5) updated after 30 days</t>
        </is>
      </c>
    </row>
    <row r="12" ht="24" customHeight="1">
      <c r="A12" s="19" t="inlineStr">
        <is>
          <t>CLOSURE LOG</t>
        </is>
      </c>
    </row>
    <row r="13" ht="30" customHeight="1">
      <c r="A13" s="6" t="inlineStr">
        <is>
          <t>Account</t>
        </is>
      </c>
      <c r="B13" s="6" t="inlineStr">
        <is>
          <t>Institution</t>
        </is>
      </c>
      <c r="C13" s="6" t="inlineStr">
        <is>
          <t>Fee $/mo</t>
        </is>
      </c>
      <c r="D13" s="6" t="inlineStr">
        <is>
          <t>Rerouted?</t>
        </is>
      </c>
      <c r="E13" s="6" t="inlineStr">
        <is>
          <t>Statements?</t>
        </is>
      </c>
      <c r="F13" s="6" t="inlineStr">
        <is>
          <t>Closed date</t>
        </is>
      </c>
      <c r="G13" s="6" t="inlineStr">
        <is>
          <t>Fees killed $/yr</t>
        </is>
      </c>
    </row>
    <row r="14" ht="22" customHeight="1">
      <c r="A14" s="10" t="inlineStr">
        <is>
          <t>Old chequing</t>
        </is>
      </c>
      <c r="B14" s="23" t="inlineStr">
        <is>
          <t>Big Bank</t>
        </is>
      </c>
      <c r="C14" s="52" t="n">
        <v>16</v>
      </c>
      <c r="D14" s="23" t="inlineStr">
        <is>
          <t>Y</t>
        </is>
      </c>
      <c r="E14" s="23" t="inlineStr">
        <is>
          <t>Y</t>
        </is>
      </c>
      <c r="F14" s="23" t="inlineStr">
        <is>
          <t>2026-11-01</t>
        </is>
      </c>
      <c r="G14" s="16">
        <f>IF(F14&lt;&gt;"",C14*12,0)</f>
        <v/>
      </c>
    </row>
    <row r="15" ht="22" customHeight="1">
      <c r="A15" s="10" t="inlineStr">
        <is>
          <t>Store credit card</t>
        </is>
      </c>
      <c r="B15" s="23" t="inlineStr">
        <is>
          <t>Retailer</t>
        </is>
      </c>
      <c r="C15" s="52" t="n">
        <v>0</v>
      </c>
      <c r="D15" s="23" t="inlineStr">
        <is>
          <t>Y</t>
        </is>
      </c>
      <c r="E15" s="23" t="inlineStr">
        <is>
          <t>Y</t>
        </is>
      </c>
      <c r="F15" s="23" t="inlineStr">
        <is>
          <t>2026-11-15</t>
        </is>
      </c>
      <c r="G15" s="16">
        <f>IF(F15&lt;&gt;"",C15*12,0)</f>
        <v/>
      </c>
    </row>
    <row r="16" ht="22" customHeight="1">
      <c r="A16" s="10" t="inlineStr">
        <is>
          <t>Unused savings</t>
        </is>
      </c>
      <c r="B16" s="23" t="inlineStr">
        <is>
          <t>Big Bank</t>
        </is>
      </c>
      <c r="C16" s="52" t="n">
        <v>5</v>
      </c>
      <c r="D16" s="23" t="inlineStr">
        <is>
          <t>Y</t>
        </is>
      </c>
      <c r="E16" s="23" t="inlineStr">
        <is>
          <t>N</t>
        </is>
      </c>
      <c r="F16" s="23" t="inlineStr"/>
      <c r="G16" s="16">
        <f>IF(F16&lt;&gt;"",C16*12,0)</f>
        <v/>
      </c>
    </row>
    <row r="17" ht="22" customHeight="1">
      <c r="A17" s="10" t="inlineStr"/>
      <c r="B17" s="23" t="inlineStr"/>
      <c r="C17" s="52" t="n"/>
      <c r="D17" s="23" t="inlineStr"/>
      <c r="E17" s="23" t="inlineStr"/>
      <c r="F17" s="23" t="inlineStr"/>
      <c r="G17" s="16">
        <f>IF(F17&lt;&gt;"",C17*12,0)</f>
        <v/>
      </c>
    </row>
    <row r="18">
      <c r="A18" s="4" t="inlineStr">
        <is>
          <t>ACCOUNTS CLOSED</t>
        </is>
      </c>
      <c r="F18" s="15">
        <f>COUNTA(F14:F17)</f>
        <v/>
      </c>
    </row>
    <row r="19">
      <c r="A19" s="4" t="inlineStr">
        <is>
          <t>ANNUAL FEES KILLED</t>
        </is>
      </c>
      <c r="G19" s="20">
        <f>SUM(G14:G17)</f>
        <v/>
      </c>
    </row>
  </sheetData>
  <mergeCells count="11">
    <mergeCell ref="A1:G1"/>
    <mergeCell ref="A9:G9"/>
    <mergeCell ref="A8:G8"/>
    <mergeCell ref="A3:G3"/>
    <mergeCell ref="A6:G6"/>
    <mergeCell ref="A12:G12"/>
    <mergeCell ref="A4:G4"/>
    <mergeCell ref="A2:G2"/>
    <mergeCell ref="A7:G7"/>
    <mergeCell ref="A10:G10"/>
    <mergeCell ref="A5:G5"/>
  </mergeCells>
  <pageMargins left="0.75" right="0.75" top="1" bottom="1" header="0.5" footer="0.5"/>
  <pageSetup orientation="portrait" fitToHeight="0" fitToWidth="1"/>
</worksheet>
</file>

<file path=xl/worksheets/sheet17.xml><?xml version="1.0" encoding="utf-8"?>
<worksheet xmlns="http://schemas.openxmlformats.org/spreadsheetml/2006/main">
  <sheetPr>
    <outlinePr summaryBelow="1" summaryRight="1"/>
    <pageSetUpPr fitToPage="1"/>
  </sheetPr>
  <dimension ref="A1:D18"/>
  <sheetViews>
    <sheetView workbookViewId="0">
      <pane ySplit="2" topLeftCell="A3" activePane="bottomLeft" state="frozen"/>
      <selection pane="bottomLeft" activeCell="A1" sqref="A1"/>
    </sheetView>
  </sheetViews>
  <sheetFormatPr baseColWidth="8" defaultRowHeight="15"/>
  <cols>
    <col width="16" customWidth="1" min="1" max="1"/>
    <col width="52" customWidth="1" min="2" max="2"/>
    <col width="12" customWidth="1" min="3" max="3"/>
    <col width="16" customWidth="1" min="4" max="4"/>
  </cols>
  <sheetData>
    <row r="1" ht="30" customHeight="1">
      <c r="A1" s="1" t="inlineStr">
        <is>
          <t>Missed deadlines cost real money. Put EVERY item in your calendar NOW — a tax calendar you don't schedule is a wish list. Mark Y when done.</t>
        </is>
      </c>
    </row>
    <row r="2" ht="30" customHeight="1">
      <c r="A2" s="6" t="inlineStr">
        <is>
          <t>Month</t>
        </is>
      </c>
      <c r="B2" s="6" t="inlineStr">
        <is>
          <t>Deadline / task</t>
        </is>
      </c>
      <c r="C2" s="6" t="inlineStr">
        <is>
          <t>Done?</t>
        </is>
      </c>
      <c r="D2" s="6" t="inlineStr">
        <is>
          <t>Date done</t>
        </is>
      </c>
    </row>
    <row r="3" ht="26" customHeight="1">
      <c r="A3" s="4" t="inlineStr">
        <is>
          <t>JAN</t>
        </is>
      </c>
      <c r="B3" s="55" t="inlineStr">
        <is>
          <t>CRA My Account room check (TFSA/RRSP/FHSA) → update T9</t>
        </is>
      </c>
      <c r="C3" s="23" t="inlineStr"/>
      <c r="D3" s="23" t="inlineStr"/>
    </row>
    <row r="4" ht="26" customHeight="1">
      <c r="A4" s="4" t="inlineStr">
        <is>
          <t>JAN</t>
        </is>
      </c>
      <c r="B4" s="55" t="inlineStr">
        <is>
          <t>Annual rebalance date (T12)</t>
        </is>
      </c>
      <c r="C4" s="23" t="inlineStr"/>
      <c r="D4" s="23" t="inlineStr"/>
    </row>
    <row r="5" ht="26" customHeight="1">
      <c r="A5" s="4" t="inlineStr">
        <is>
          <t>JAN</t>
        </is>
      </c>
      <c r="B5" s="55" t="inlineStr">
        <is>
          <t>One-page plan rewrite (T43)</t>
        </is>
      </c>
      <c r="C5" s="23" t="inlineStr"/>
      <c r="D5" s="23" t="inlineStr"/>
    </row>
    <row r="6" ht="26" customHeight="1">
      <c r="A6" s="4" t="inlineStr">
        <is>
          <t>FEB</t>
        </is>
      </c>
      <c r="B6" s="55" t="inlineStr">
        <is>
          <t>RRSP contribution deadline (first 60 days — usually Mar 1)</t>
        </is>
      </c>
      <c r="C6" s="23" t="inlineStr"/>
      <c r="D6" s="23" t="inlineStr"/>
    </row>
    <row r="7" ht="26" customHeight="1">
      <c r="A7" s="4" t="inlineStr">
        <is>
          <t>MAR</t>
        </is>
      </c>
      <c r="B7" s="55" t="inlineStr">
        <is>
          <t>File taxes early if expecting refund → route refund to investing</t>
        </is>
      </c>
      <c r="C7" s="23" t="inlineStr"/>
      <c r="D7" s="23" t="inlineStr"/>
    </row>
    <row r="8" ht="26" customHeight="1">
      <c r="A8" s="4" t="inlineStr">
        <is>
          <t>APR</t>
        </is>
      </c>
      <c r="B8" s="55" t="inlineStr">
        <is>
          <t>Tax filing deadline (Apr 30; Jun 15 if self-employed — but PAY by Apr 30)</t>
        </is>
      </c>
      <c r="C8" s="23" t="inlineStr"/>
      <c r="D8" s="23" t="inlineStr"/>
    </row>
    <row r="9" ht="26" customHeight="1">
      <c r="A9" s="4" t="inlineStr">
        <is>
          <t>APR</t>
        </is>
      </c>
      <c r="B9" s="55" t="inlineStr">
        <is>
          <t>Benefits open-enrollment review</t>
        </is>
      </c>
      <c r="C9" s="23" t="inlineStr"/>
      <c r="D9" s="23" t="inlineStr"/>
    </row>
    <row r="10" ht="26" customHeight="1">
      <c r="A10" s="4" t="inlineStr">
        <is>
          <t>JUN</t>
        </is>
      </c>
      <c r="B10" s="55" t="inlineStr">
        <is>
          <t>Mid-year checkpoint (30 min)</t>
        </is>
      </c>
      <c r="C10" s="23" t="inlineStr"/>
      <c r="D10" s="23" t="inlineStr"/>
    </row>
    <row r="11" ht="26" customHeight="1">
      <c r="A11" s="4" t="inlineStr">
        <is>
          <t>SEP</t>
        </is>
      </c>
      <c r="B11" s="55" t="inlineStr">
        <is>
          <t>RESP grant check — on track for $2,500/child? (T33)</t>
        </is>
      </c>
      <c r="C11" s="23" t="inlineStr"/>
      <c r="D11" s="23" t="inlineStr"/>
    </row>
    <row r="12" ht="26" customHeight="1">
      <c r="A12" s="4" t="inlineStr">
        <is>
          <t>OCT</t>
        </is>
      </c>
      <c r="B12" s="55" t="inlineStr">
        <is>
          <t>Tax-loss harvesting review (taxable accounts)</t>
        </is>
      </c>
      <c r="C12" s="23" t="inlineStr"/>
      <c r="D12" s="23" t="inlineStr"/>
    </row>
    <row r="13" ht="26" customHeight="1">
      <c r="A13" s="4" t="inlineStr">
        <is>
          <t>OCT</t>
        </is>
      </c>
      <c r="B13" s="55" t="inlineStr">
        <is>
          <t>Insurance / beneficiaries annual check</t>
        </is>
      </c>
      <c r="C13" s="23" t="inlineStr"/>
      <c r="D13" s="23" t="inlineStr"/>
    </row>
    <row r="14" ht="26" customHeight="1">
      <c r="A14" s="4" t="inlineStr">
        <is>
          <t>DEC</t>
        </is>
      </c>
      <c r="B14" s="55" t="inlineStr">
        <is>
          <t>Final RRSP/TFSA contributions for the year</t>
        </is>
      </c>
      <c r="C14" s="23" t="inlineStr"/>
      <c r="D14" s="23" t="inlineStr"/>
    </row>
    <row r="15" ht="26" customHeight="1">
      <c r="A15" s="4" t="inlineStr">
        <is>
          <t>DEC</t>
        </is>
      </c>
      <c r="B15" s="55" t="inlineStr">
        <is>
          <t>Charitable giving — bunching check (T26)</t>
        </is>
      </c>
      <c r="C15" s="23" t="inlineStr"/>
      <c r="D15" s="23" t="inlineStr"/>
    </row>
    <row r="16" ht="26" customHeight="1">
      <c r="A16" s="4" t="inlineStr">
        <is>
          <t>DEC</t>
        </is>
      </c>
      <c r="B16" s="55" t="inlineStr">
        <is>
          <t>Next year's rate target + one-word theme</t>
        </is>
      </c>
      <c r="C16" s="23" t="inlineStr"/>
      <c r="D16" s="23" t="inlineStr"/>
    </row>
    <row r="18" ht="36" customHeight="1">
      <c r="A18" s="18" t="inlineStr">
        <is>
          <t>The two most-missed items: the FHSA 15-year clock (set a year-12 reminder) and the December charitable bunching decision. Both are calendar problems, not knowledge problems.</t>
        </is>
      </c>
    </row>
  </sheetData>
  <mergeCells count="2">
    <mergeCell ref="A1:D1"/>
    <mergeCell ref="A18:D18"/>
  </mergeCells>
  <conditionalFormatting sqref="C3:C16">
    <cfRule type="expression" priority="1" dxfId="1">
      <formula>$C3="Y"</formula>
    </cfRule>
  </conditionalFormatting>
  <pageMargins left="0.75" right="0.75" top="1" bottom="1" header="0.5" footer="0.5"/>
  <pageSetup orientation="portrait" fitToHeight="0" fitToWidth="1"/>
</worksheet>
</file>

<file path=xl/worksheets/sheet18.xml><?xml version="1.0" encoding="utf-8"?>
<worksheet xmlns="http://schemas.openxmlformats.org/spreadsheetml/2006/main">
  <sheetPr>
    <outlinePr summaryBelow="1" summaryRight="1"/>
    <pageSetUpPr fitToPage="1"/>
  </sheetPr>
  <dimension ref="A1:B14"/>
  <sheetViews>
    <sheetView workbookViewId="0">
      <pane ySplit="3" topLeftCell="A4" activePane="bottomLeft" state="frozen"/>
      <selection pane="bottomLeft" activeCell="A1" sqref="A1"/>
    </sheetView>
  </sheetViews>
  <sheetFormatPr baseColWidth="8" defaultRowHeight="15"/>
  <cols>
    <col width="36" customWidth="1" min="1" max="1"/>
    <col width="18" customWidth="1" min="2" max="2"/>
  </cols>
  <sheetData>
    <row r="1" ht="30" customHeight="1">
      <c r="A1" s="1" t="inlineStr">
        <is>
          <t>THE ONLY TAB YOU EVER EDIT. Every other Engine Room tab is formulas reading these cells. Update monthly; reconcile against real statements quarterly.</t>
        </is>
      </c>
    </row>
    <row r="3">
      <c r="A3" s="2" t="inlineStr">
        <is>
          <t>ENGINE ROOM — INPUTS</t>
        </is>
      </c>
    </row>
    <row r="4" ht="24" customHeight="1">
      <c r="A4" s="4" t="inlineStr">
        <is>
          <t>Monthly take-home pay</t>
        </is>
      </c>
      <c r="B4" s="11" t="n">
        <v>5200</v>
      </c>
    </row>
    <row r="5" ht="24" customHeight="1">
      <c r="A5" s="4" t="inlineStr">
        <is>
          <t>Monthly spending (all-in)</t>
        </is>
      </c>
      <c r="B5" s="11" t="n">
        <v>3900</v>
      </c>
    </row>
    <row r="6" ht="24" customHeight="1">
      <c r="A6" s="4" t="inlineStr">
        <is>
          <t>Monthly investing (automated)</t>
        </is>
      </c>
      <c r="B6" s="11" t="n">
        <v>1300</v>
      </c>
    </row>
    <row r="7" ht="24" customHeight="1">
      <c r="A7" s="4" t="inlineStr">
        <is>
          <t>Current invested assets</t>
        </is>
      </c>
      <c r="B7" s="11" t="n">
        <v>45000</v>
      </c>
    </row>
    <row r="8" ht="24" customHeight="1">
      <c r="A8" s="4" t="inlineStr">
        <is>
          <t>Expected return (nominal) /yr</t>
        </is>
      </c>
      <c r="B8" s="12" t="n">
        <v>0.07000000000000001</v>
      </c>
    </row>
    <row r="9" ht="24" customHeight="1">
      <c r="A9" s="4" t="inlineStr">
        <is>
          <t>Inflation /yr</t>
        </is>
      </c>
      <c r="B9" s="12" t="n">
        <v>0.025</v>
      </c>
    </row>
    <row r="10" ht="24" customHeight="1">
      <c r="A10" s="4" t="inlineStr">
        <is>
          <t>Current age</t>
        </is>
      </c>
      <c r="B10" s="23" t="n">
        <v>32</v>
      </c>
    </row>
    <row r="11" ht="24" customHeight="1">
      <c r="A11" s="4" t="inlineStr">
        <is>
          <t>Annual spending (FI lifestyle)</t>
        </is>
      </c>
      <c r="B11" s="11" t="n">
        <v>48000</v>
      </c>
    </row>
    <row r="12" ht="24" customHeight="1">
      <c r="A12" s="4" t="inlineStr">
        <is>
          <t>Total net worth (assets − debts)</t>
        </is>
      </c>
      <c r="B12" s="11" t="n">
        <v>60000</v>
      </c>
    </row>
    <row r="13">
      <c r="A13" s="4" t="inlineStr">
        <is>
          <t>Consistency check: investing = take-home − spending?</t>
        </is>
      </c>
      <c r="B13" s="56">
        <f>IF(B6=B4-B5,"BALANCED ✓","MISMATCH — fix inputs")</f>
        <v/>
      </c>
    </row>
    <row r="14" ht="36" customHeight="1">
      <c r="A14" s="18" t="inlineStr">
        <is>
          <t>BUILD RULES: (1) formulas never contain typed numbers — only cell references; (2) one formula per concept; (3) reconcile quarterly — the sheet's net worth must match your statements within $100; (4) back it up — cloud sync on.</t>
        </is>
      </c>
    </row>
  </sheetData>
  <mergeCells count="3">
    <mergeCell ref="A14:B14"/>
    <mergeCell ref="A3:B3"/>
    <mergeCell ref="A1:B1"/>
  </mergeCells>
  <pageMargins left="0.75" right="0.75" top="1" bottom="1" header="0.5" footer="0.5"/>
  <pageSetup orientation="portrait" fitToHeight="0" fitToWidth="1"/>
</worksheet>
</file>

<file path=xl/worksheets/sheet19.xml><?xml version="1.0" encoding="utf-8"?>
<worksheet xmlns="http://schemas.openxmlformats.org/spreadsheetml/2006/main">
  <sheetPr>
    <outlinePr summaryBelow="1" summaryRight="1"/>
    <pageSetUpPr fitToPage="1"/>
  </sheetPr>
  <dimension ref="A1:B13"/>
  <sheetViews>
    <sheetView workbookViewId="0">
      <pane ySplit="3" topLeftCell="A4" activePane="bottomLeft" state="frozen"/>
      <selection pane="bottomLeft" activeCell="A1" sqref="A1"/>
    </sheetView>
  </sheetViews>
  <sheetFormatPr baseColWidth="8" defaultRowHeight="15"/>
  <cols>
    <col width="40" customWidth="1" min="1" max="1"/>
    <col width="20" customWidth="1" min="2" max="2"/>
  </cols>
  <sheetData>
    <row r="1" ht="30" customHeight="1">
      <c r="A1" s="1" t="inlineStr">
        <is>
          <t>ALL FORMULAS — do not type here. If a number looks wrong, the fix is on ER Inputs, not here.</t>
        </is>
      </c>
    </row>
    <row r="3">
      <c r="A3" s="2" t="inlineStr">
        <is>
          <t>ENGINE ROOM — DASHBOARD</t>
        </is>
      </c>
    </row>
    <row r="4" ht="26" customHeight="1">
      <c r="A4" s="4" t="inlineStr">
        <is>
          <t>Savings rate</t>
        </is>
      </c>
      <c r="B4" s="57">
        <f>IFERROR(('ER Inputs'!B4-'ER Inputs'!B5)/'ER Inputs'!B4,0)</f>
        <v/>
      </c>
    </row>
    <row r="5" ht="26" customHeight="1">
      <c r="A5" s="4" t="inlineStr">
        <is>
          <t>Real return /yr</t>
        </is>
      </c>
      <c r="B5" s="24">
        <f>(1+'ER Inputs'!B8)/(1+'ER Inputs'!B9)-1</f>
        <v/>
      </c>
    </row>
    <row r="6" ht="26" customHeight="1">
      <c r="A6" s="4" t="inlineStr">
        <is>
          <t>FI number (spending × 25)</t>
        </is>
      </c>
      <c r="B6" s="40">
        <f>'ER Inputs'!B11*25</f>
        <v/>
      </c>
    </row>
    <row r="7" ht="26" customHeight="1">
      <c r="A7" s="4" t="inlineStr">
        <is>
          <t>Years to FI</t>
        </is>
      </c>
      <c r="B7" s="33">
        <f>IFERROR(NPER(B5,-'ER Inputs'!B6*12,-'ER Inputs'!B7,B6),"—")</f>
        <v/>
      </c>
    </row>
    <row r="8" ht="26" customHeight="1">
      <c r="A8" s="4" t="inlineStr">
        <is>
          <t>FI age</t>
        </is>
      </c>
      <c r="B8" s="43">
        <f>IFERROR('ER Inputs'!B10+B7,"—")</f>
        <v/>
      </c>
    </row>
    <row r="9" ht="26" customHeight="1">
      <c r="A9" s="4" t="inlineStr">
        <is>
          <t>10-year projection (real dollars)</t>
        </is>
      </c>
      <c r="B9" s="16">
        <f>FV(B5,10,-'ER Inputs'!B6*12,-'ER Inputs'!B7)</f>
        <v/>
      </c>
    </row>
    <row r="10" ht="26" customHeight="1">
      <c r="A10" s="4" t="inlineStr">
        <is>
          <t>Monthly surplus (take-home − spending)</t>
        </is>
      </c>
      <c r="B10" s="14">
        <f>'ER Inputs'!B4-'ER Inputs'!B5</f>
        <v/>
      </c>
    </row>
    <row r="11" ht="26" customHeight="1">
      <c r="A11" s="4" t="inlineStr">
        <is>
          <t>Invested assets today</t>
        </is>
      </c>
      <c r="B11" s="16">
        <f>'ER Inputs'!B7</f>
        <v/>
      </c>
    </row>
    <row r="12" ht="26" customHeight="1">
      <c r="A12" s="4" t="inlineStr">
        <is>
          <t>Net worth today</t>
        </is>
      </c>
      <c r="B12" s="16">
        <f>'ER Inputs'!B12</f>
        <v/>
      </c>
    </row>
    <row r="13" ht="36" customHeight="1">
      <c r="A13" s="18" t="inlineStr">
        <is>
          <t>Read this quarterly, not daily. The dashboard is a management instrument — checking it daily converts it into an anxiety machine.</t>
        </is>
      </c>
    </row>
  </sheetData>
  <mergeCells count="3">
    <mergeCell ref="A13:B13"/>
    <mergeCell ref="A3:B3"/>
    <mergeCell ref="A1:B1"/>
  </mergeCells>
  <conditionalFormatting sqref="B4">
    <cfRule type="cellIs" priority="1" operator="greaterThanOrEqual" dxfId="1">
      <formula>0.2</formula>
    </cfRule>
    <cfRule type="cellIs" priority="2" operator="lessThan" dxfId="0">
      <formula>0.1</formula>
    </cfRule>
  </conditionalFormatting>
  <pageMargins left="0.75" right="0.75" top="1" bottom="1" header="0.5" footer="0.5"/>
  <pageSetup orientation="portrait" fitToHeight="0" fitToWidth="1"/>
</worksheet>
</file>

<file path=xl/worksheets/sheet20.xml><?xml version="1.0" encoding="utf-8"?>
<worksheet xmlns="http://schemas.openxmlformats.org/spreadsheetml/2006/main">
  <sheetPr>
    <outlinePr summaryBelow="1" summaryRight="1"/>
    <pageSetUpPr fitToPage="1"/>
  </sheetPr>
  <dimension ref="A1:G13"/>
  <sheetViews>
    <sheetView workbookViewId="0">
      <pane ySplit="3" topLeftCell="A4" activePane="bottomLeft" state="frozen"/>
      <selection pane="bottomLeft" activeCell="A1" sqref="A1"/>
    </sheetView>
  </sheetViews>
  <sheetFormatPr baseColWidth="8" defaultRowHeight="15"/>
  <cols>
    <col width="22" customWidth="1" min="1" max="1"/>
    <col width="14" customWidth="1" min="2" max="2"/>
    <col width="10" customWidth="1" min="3" max="3"/>
    <col width="12" customWidth="1" min="4" max="4"/>
    <col width="15" customWidth="1" min="5" max="5"/>
    <col width="12" customWidth="1" min="6" max="6"/>
    <col width="14" customWidth="1" min="7" max="7"/>
  </cols>
  <sheetData>
    <row r="1" ht="30" customHeight="1">
      <c r="A1" s="1" t="inlineStr">
        <is>
          <t>List debts HIGHEST RATE FIRST. Update balances monthly and watch the kill dates approach. Payment column is automatic avalanche.</t>
        </is>
      </c>
    </row>
    <row r="2">
      <c r="A2" s="4" t="inlineStr">
        <is>
          <t>MONTHLY DEBT BUDGET</t>
        </is>
      </c>
      <c r="B2" s="17" t="n">
        <v>1500</v>
      </c>
    </row>
    <row r="3" ht="30" customHeight="1">
      <c r="A3" s="6" t="inlineStr">
        <is>
          <t>Debt</t>
        </is>
      </c>
      <c r="B3" s="6" t="inlineStr">
        <is>
          <t>Balance</t>
        </is>
      </c>
      <c r="C3" s="6" t="inlineStr">
        <is>
          <t>Rate</t>
        </is>
      </c>
      <c r="D3" s="6" t="inlineStr">
        <is>
          <t>Minimum</t>
        </is>
      </c>
      <c r="E3" s="6" t="inlineStr">
        <is>
          <t>Avalanche pmt</t>
        </is>
      </c>
      <c r="F3" s="6" t="inlineStr">
        <is>
          <t>Months left</t>
        </is>
      </c>
      <c r="G3" s="6" t="inlineStr">
        <is>
          <t>Interest left</t>
        </is>
      </c>
    </row>
    <row r="4" ht="22" customHeight="1">
      <c r="A4" s="10" t="inlineStr">
        <is>
          <t>Credit card</t>
        </is>
      </c>
      <c r="B4" s="11" t="n">
        <v>6000</v>
      </c>
      <c r="C4" s="12" t="n">
        <v>0.21</v>
      </c>
      <c r="D4" s="11" t="n">
        <v>180</v>
      </c>
      <c r="E4" s="14">
        <f>$B$2-SUM($D$5:$D$8)</f>
        <v/>
      </c>
      <c r="F4" s="15">
        <f>IFERROR(ROUNDUP(NPER(C4/12,-E4,B4),0),"—")</f>
        <v/>
      </c>
      <c r="G4" s="16">
        <f>IFERROR(F4*E4-B4,"—")</f>
        <v/>
      </c>
    </row>
    <row r="5" ht="22" customHeight="1">
      <c r="A5" s="10" t="inlineStr">
        <is>
          <t>Line of credit</t>
        </is>
      </c>
      <c r="B5" s="11" t="n">
        <v>5000</v>
      </c>
      <c r="C5" s="12" t="n">
        <v>0.08</v>
      </c>
      <c r="D5" s="11" t="n">
        <v>150</v>
      </c>
      <c r="E5" s="14">
        <f>D5+E4</f>
        <v/>
      </c>
      <c r="F5" s="15">
        <f>IFERROR(ROUNDUP(NPER(C5/12,-E5,B5),0),"—")</f>
        <v/>
      </c>
      <c r="G5" s="16">
        <f>IFERROR(F5*E5-B5,"—")</f>
        <v/>
      </c>
    </row>
    <row r="6" ht="22" customHeight="1">
      <c r="A6" s="10" t="inlineStr">
        <is>
          <t>Student loan</t>
        </is>
      </c>
      <c r="B6" s="11" t="n">
        <v>3000</v>
      </c>
      <c r="C6" s="12" t="n">
        <v>0.05</v>
      </c>
      <c r="D6" s="11" t="n">
        <v>90</v>
      </c>
      <c r="E6" s="14">
        <f>D6+E5</f>
        <v/>
      </c>
      <c r="F6" s="15">
        <f>IFERROR(ROUNDUP(NPER(C6/12,-E6,B6),0),"—")</f>
        <v/>
      </c>
      <c r="G6" s="16">
        <f>IFERROR(F6*E6-B6,"—")</f>
        <v/>
      </c>
    </row>
    <row r="7" ht="22" customHeight="1">
      <c r="A7" s="10" t="inlineStr">
        <is>
          <t>Car loan</t>
        </is>
      </c>
      <c r="B7" s="11" t="n"/>
      <c r="C7" s="12" t="n">
        <v>0.06</v>
      </c>
      <c r="D7" s="11" t="n"/>
      <c r="E7" s="14">
        <f>D7+E6</f>
        <v/>
      </c>
      <c r="F7" s="15">
        <f>IFERROR(ROUNDUP(NPER(C7/12,-E7,B7),0),"—")</f>
        <v/>
      </c>
      <c r="G7" s="16">
        <f>IFERROR(F7*E7-B7,"—")</f>
        <v/>
      </c>
    </row>
    <row r="8" ht="22" customHeight="1">
      <c r="A8" s="10" t="inlineStr"/>
      <c r="B8" s="11" t="n"/>
      <c r="C8" s="12" t="n"/>
      <c r="D8" s="11" t="n"/>
      <c r="E8" s="14">
        <f>D8+E7</f>
        <v/>
      </c>
      <c r="F8" s="15">
        <f>IFERROR(ROUNDUP(NPER(C8/12,-E8,B8),0),"—")</f>
        <v/>
      </c>
      <c r="G8" s="16">
        <f>IFERROR(F8*E8-B8,"—")</f>
        <v/>
      </c>
    </row>
    <row r="10">
      <c r="A10" s="4" t="inlineStr">
        <is>
          <t>TOTAL DEBT</t>
        </is>
      </c>
      <c r="B10" s="58">
        <f>SUM(B4:B8)</f>
        <v/>
      </c>
    </row>
    <row r="11">
      <c r="A11" s="4" t="inlineStr">
        <is>
          <t>Debt-free in (months, sequential)</t>
        </is>
      </c>
      <c r="B11" s="15">
        <f>SUM(F4:F8)</f>
        <v/>
      </c>
    </row>
    <row r="12">
      <c r="A12" s="4" t="inlineStr">
        <is>
          <t>Total interest remaining</t>
        </is>
      </c>
      <c r="B12" s="32">
        <f>SUM(G4:G8)</f>
        <v/>
      </c>
    </row>
    <row r="13" ht="36" customHeight="1">
      <c r="A13" s="18" t="inlineStr">
        <is>
          <t>Update balances on the 1st of each month. The avalanche payment auto-recalculates — extra dollars always attack the highest rate first.</t>
        </is>
      </c>
    </row>
  </sheetData>
  <mergeCells count="2">
    <mergeCell ref="A13:G13"/>
    <mergeCell ref="A1:G1"/>
  </mergeCells>
  <pageMargins left="0.75" right="0.75" top="1" bottom="1" header="0.5" footer="0.5"/>
  <pageSetup orientation="portrait" fitToHeight="0" fitToWidth="1"/>
</worksheet>
</file>

<file path=xl/worksheets/sheet21.xml><?xml version="1.0" encoding="utf-8"?>
<worksheet xmlns="http://schemas.openxmlformats.org/spreadsheetml/2006/main">
  <sheetPr>
    <outlinePr summaryBelow="1" summaryRight="1"/>
    <pageSetUpPr fitToPage="1"/>
  </sheetPr>
  <dimension ref="A1:B22"/>
  <sheetViews>
    <sheetView workbookViewId="0">
      <selection activeCell="A1" sqref="A1"/>
    </sheetView>
  </sheetViews>
  <sheetFormatPr baseColWidth="8" defaultRowHeight="15"/>
  <cols>
    <col width="30" customWidth="1" min="1" max="1"/>
    <col width="24" customWidth="1" min="2" max="2"/>
  </cols>
  <sheetData>
    <row r="1" ht="30" customHeight="1">
      <c r="A1" s="1" t="inlineStr">
        <is>
          <t>One dated scenario per big decision. The archive of your thinking — future-you will thank present-you.</t>
        </is>
      </c>
    </row>
    <row r="3" ht="24" customHeight="1">
      <c r="A3" s="19" t="inlineStr">
        <is>
          <t>SCENARIO: Refinance? (T31)</t>
        </is>
      </c>
    </row>
    <row r="4">
      <c r="A4" s="10" t="inlineStr">
        <is>
          <t>Stay @ 5.9%</t>
        </is>
      </c>
      <c r="B4" s="11" t="n">
        <v>556320</v>
      </c>
    </row>
    <row r="5">
      <c r="A5" s="10" t="inlineStr">
        <is>
          <t>Refinance @ 4.5%</t>
        </is>
      </c>
      <c r="B5" s="11" t="n">
        <v>506500</v>
      </c>
    </row>
    <row r="6">
      <c r="A6" s="4" t="inlineStr">
        <is>
          <t>WINNER (higher value)</t>
        </is>
      </c>
      <c r="B6" s="48">
        <f>IF(B4="","",IF(B4&gt;B5,"A","B"))</f>
        <v/>
      </c>
    </row>
    <row r="7">
      <c r="A7" s="4" t="inlineStr">
        <is>
          <t>Date decided</t>
        </is>
      </c>
      <c r="B7" s="23" t="inlineStr">
        <is>
          <t>2026-10-09</t>
        </is>
      </c>
    </row>
    <row r="8" ht="44" customHeight="1">
      <c r="A8" s="4" t="inlineStr">
        <is>
          <t>Notes / non-financial reasons</t>
        </is>
      </c>
      <c r="B8" s="59" t="inlineStr">
        <is>
          <t>Break-even ~20 mo; staying 10+ yrs → refinance wins by ~$22K interest.</t>
        </is>
      </c>
    </row>
    <row r="10" ht="24" customHeight="1">
      <c r="A10" s="19" t="inlineStr">
        <is>
          <t>SCENARIO: Buy vs rent (T32)</t>
        </is>
      </c>
    </row>
    <row r="11">
      <c r="A11" s="10" t="inlineStr">
        <is>
          <t>Buy condo</t>
        </is>
      </c>
      <c r="B11" s="11" t="n">
        <v>319000</v>
      </c>
    </row>
    <row r="12">
      <c r="A12" s="10" t="inlineStr">
        <is>
          <t>Rent + invest</t>
        </is>
      </c>
      <c r="B12" s="11" t="n">
        <v>579000</v>
      </c>
    </row>
    <row r="13">
      <c r="A13" s="4" t="inlineStr">
        <is>
          <t>WINNER (higher value)</t>
        </is>
      </c>
      <c r="B13" s="48">
        <f>IF(B11="","",IF(B11&gt;B12,"A","B"))</f>
        <v/>
      </c>
    </row>
    <row r="14">
      <c r="A14" s="4" t="inlineStr">
        <is>
          <t>Date decided</t>
        </is>
      </c>
      <c r="B14" s="23" t="inlineStr">
        <is>
          <t>2026-10-09</t>
        </is>
      </c>
    </row>
    <row r="15" ht="44" customHeight="1">
      <c r="A15" s="4" t="inlineStr">
        <is>
          <t>Notes / non-financial reasons</t>
        </is>
      </c>
      <c r="B15" s="59" t="inlineStr">
        <is>
          <t>Rent wins IF $2,210/mo actually invested. Honest answer: it won't be → behavioral buy.</t>
        </is>
      </c>
    </row>
    <row r="17" ht="24" customHeight="1">
      <c r="A17" s="19" t="inlineStr">
        <is>
          <t>SCENARIO: (new — overwrite)</t>
        </is>
      </c>
    </row>
    <row r="18">
      <c r="A18" s="10" t="inlineStr"/>
      <c r="B18" s="11" t="n"/>
    </row>
    <row r="19">
      <c r="A19" s="10" t="inlineStr"/>
      <c r="B19" s="11" t="n"/>
    </row>
    <row r="20">
      <c r="A20" s="4" t="inlineStr">
        <is>
          <t>WINNER (higher value)</t>
        </is>
      </c>
      <c r="B20" s="48">
        <f>IF(B18="","",IF(B18&gt;B19,"A","B"))</f>
        <v/>
      </c>
    </row>
    <row r="21">
      <c r="A21" s="4" t="inlineStr">
        <is>
          <t>Date decided</t>
        </is>
      </c>
      <c r="B21" s="23" t="inlineStr"/>
    </row>
    <row r="22" ht="44" customHeight="1">
      <c r="A22" s="4" t="inlineStr">
        <is>
          <t>Notes / non-financial reasons</t>
        </is>
      </c>
      <c r="B22" s="59" t="inlineStr"/>
    </row>
  </sheetData>
  <mergeCells count="4">
    <mergeCell ref="A3:B3"/>
    <mergeCell ref="A10:B10"/>
    <mergeCell ref="A1:B1"/>
    <mergeCell ref="A17:B17"/>
  </mergeCells>
  <pageMargins left="0.75" right="0.75" top="1" bottom="1" header="0.5" footer="0.5"/>
  <pageSetup orientation="portrait" fitToHeight="0" fitToWidth="1"/>
</worksheet>
</file>

<file path=xl/worksheets/sheet22.xml><?xml version="1.0" encoding="utf-8"?>
<worksheet xmlns="http://schemas.openxmlformats.org/spreadsheetml/2006/main">
  <sheetPr>
    <outlinePr summaryBelow="1" summaryRight="1"/>
    <pageSetUpPr fitToPage="1"/>
  </sheetPr>
  <dimension ref="A1:D8"/>
  <sheetViews>
    <sheetView workbookViewId="0">
      <pane ySplit="2" topLeftCell="A3" activePane="bottomLeft" state="frozen"/>
      <selection pane="bottomLeft" activeCell="A1" sqref="A1"/>
    </sheetView>
  </sheetViews>
  <sheetFormatPr baseColWidth="8" defaultRowHeight="15"/>
  <cols>
    <col width="14" customWidth="1" min="1" max="1"/>
    <col width="22" customWidth="1" min="2" max="2"/>
    <col width="52" customWidth="1" min="3" max="3"/>
    <col width="16" customWidth="1" min="4" max="4"/>
  </cols>
  <sheetData>
    <row r="1" ht="30" customHeight="1">
      <c r="A1" s="1" t="inlineStr">
        <is>
          <t>Every fill-in from every tool, dated. T1 snapshots, T17 attributions, T24 physicals — one running log = your financial memory.</t>
        </is>
      </c>
    </row>
    <row r="2" ht="30" customHeight="1">
      <c r="A2" s="6" t="inlineStr">
        <is>
          <t>Date</t>
        </is>
      </c>
      <c r="B2" s="6" t="inlineStr">
        <is>
          <t>Tool</t>
        </is>
      </c>
      <c r="C2" s="6" t="inlineStr">
        <is>
          <t>Entry</t>
        </is>
      </c>
      <c r="D2" s="6" t="inlineStr">
        <is>
          <t>Amount</t>
        </is>
      </c>
    </row>
    <row r="3" ht="26" customHeight="1">
      <c r="A3" s="23" t="inlineStr">
        <is>
          <t>2026-10-09</t>
        </is>
      </c>
      <c r="B3" s="10" t="inlineStr">
        <is>
          <t>T1 Snapshot</t>
        </is>
      </c>
      <c r="C3" s="53" t="inlineStr">
        <is>
          <t>Net worth baseline recorded</t>
        </is>
      </c>
      <c r="D3" s="11" t="n">
        <v>60000</v>
      </c>
    </row>
    <row r="4" ht="26" customHeight="1">
      <c r="A4" s="23" t="inlineStr">
        <is>
          <t>2026-10-09</t>
        </is>
      </c>
      <c r="B4" s="10" t="inlineStr">
        <is>
          <t>T30 Avalanche</t>
        </is>
      </c>
      <c r="C4" s="53" t="inlineStr">
        <is>
          <t>Kill order set: CC → LOC → student loan; $800/mo budget</t>
        </is>
      </c>
      <c r="D4" s="11" t="n">
        <v>-14000</v>
      </c>
    </row>
    <row r="5" ht="26" customHeight="1">
      <c r="A5" s="23" t="inlineStr">
        <is>
          <t>2026-10-09</t>
        </is>
      </c>
      <c r="B5" s="10" t="inlineStr">
        <is>
          <t>T31 Refinance</t>
        </is>
      </c>
      <c r="C5" s="53" t="inlineStr">
        <is>
          <t>Break-even ~20 mo — proceeding with refinance</t>
        </is>
      </c>
      <c r="D5" s="11" t="n">
        <v>22000</v>
      </c>
    </row>
    <row r="6" ht="26" customHeight="1">
      <c r="A6" s="23" t="inlineStr">
        <is>
          <t>2026-10-09</t>
        </is>
      </c>
      <c r="B6" s="10" t="inlineStr">
        <is>
          <t>T39 FI Date</t>
        </is>
      </c>
      <c r="C6" s="53" t="inlineStr">
        <is>
          <t>FI number $1.2M; ~28 yrs at 5% real → age 60</t>
        </is>
      </c>
      <c r="D6" s="11" t="n">
        <v>1200000</v>
      </c>
    </row>
    <row r="7" ht="26" customHeight="1">
      <c r="A7" s="23" t="inlineStr"/>
      <c r="B7" s="10" t="inlineStr"/>
      <c r="C7" s="53" t="inlineStr"/>
      <c r="D7" s="11" t="n"/>
    </row>
    <row r="8" ht="26" customHeight="1">
      <c r="A8" s="23" t="inlineStr"/>
      <c r="B8" s="10" t="inlineStr"/>
      <c r="C8" s="53" t="inlineStr"/>
      <c r="D8" s="11" t="n"/>
    </row>
  </sheetData>
  <mergeCells count="1">
    <mergeCell ref="A1:D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2026-10-09T17:32:14+00:00Z</dcterms:created>
  <dcterms:modified xmlns:dcterms="http://purl.org/dc/terms/" xmlns:xsi="http://www.w3.org/2001/XMLSchema-instance" xsi:type="dcterms:W3CDTF">2026-10-09T17:32:14+00:00Z</dcterms:modified>
</cp:coreProperties>
</file>